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ER\Desktop\EDOS 2023\Intranet EDOS\GESTION JURIDICA\Otros documentos\"/>
    </mc:Choice>
  </mc:AlternateContent>
  <xr:revisionPtr revIDLastSave="0" documentId="8_{00E1333E-C402-41C0-B3FE-D8520DA841D0}" xr6:coauthVersionLast="47" xr6:coauthVersionMax="47" xr10:uidLastSave="{00000000-0000-0000-0000-000000000000}"/>
  <bookViews>
    <workbookView xWindow="-120" yWindow="-120" windowWidth="20730" windowHeight="11160" tabRatio="882" activeTab="1" xr2:uid="{00000000-000D-0000-FFFF-FFFF00000000}"/>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externalReferences>
    <externalReference r:id="rId10"/>
    <externalReference r:id="rId11"/>
    <externalReference r:id="rId12"/>
  </externalReferences>
  <calcPr calcId="191029"/>
  <pivotCaches>
    <pivotCache cacheId="0"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 l="1"/>
  <c r="Q11" i="1"/>
  <c r="T11" i="1"/>
  <c r="Q12" i="1" l="1"/>
  <c r="X12" i="1" s="1"/>
  <c r="Z12" i="1" s="1"/>
  <c r="T12" i="1"/>
  <c r="Q13" i="1"/>
  <c r="T13" i="1"/>
  <c r="Q14" i="1"/>
  <c r="T14" i="1"/>
  <c r="Q15" i="1"/>
  <c r="T15" i="1"/>
  <c r="AB13" i="1" l="1"/>
  <c r="AA13" i="1" s="1"/>
  <c r="X15" i="1"/>
  <c r="Z15" i="1" s="1"/>
  <c r="AB12" i="1"/>
  <c r="AA12" i="1" s="1"/>
  <c r="AB14" i="1"/>
  <c r="AA14" i="1" s="1"/>
  <c r="AB15" i="1"/>
  <c r="AA15" i="1" s="1"/>
  <c r="X13" i="1"/>
  <c r="Z13" i="1" s="1"/>
  <c r="X14" i="1"/>
  <c r="Z14" i="1" s="1"/>
  <c r="Y12" i="1"/>
  <c r="T10" i="1"/>
  <c r="Q10" i="1"/>
  <c r="H10" i="1"/>
  <c r="I10" i="1" s="1"/>
  <c r="K62" i="1"/>
  <c r="K59" i="1"/>
  <c r="K57" i="1"/>
  <c r="K69" i="1"/>
  <c r="K49" i="1"/>
  <c r="K60" i="1"/>
  <c r="K54" i="1"/>
  <c r="K48" i="1"/>
  <c r="K63" i="1"/>
  <c r="K47" i="1"/>
  <c r="K56" i="1"/>
  <c r="K65" i="1"/>
  <c r="K50" i="1"/>
  <c r="K66" i="1"/>
  <c r="K55" i="1"/>
  <c r="K67" i="1"/>
  <c r="K68" i="1"/>
  <c r="K53" i="1"/>
  <c r="K51" i="1"/>
  <c r="K61" i="1"/>
  <c r="AC12" i="1" l="1"/>
  <c r="Y15" i="1"/>
  <c r="AC15" i="1" s="1"/>
  <c r="Y13" i="1"/>
  <c r="AC13" i="1" s="1"/>
  <c r="Y14" i="1"/>
  <c r="AC14" i="1" s="1"/>
  <c r="X11" i="1"/>
  <c r="AB11" i="1"/>
  <c r="AA11" i="1" s="1"/>
  <c r="F221" i="13"/>
  <c r="F211" i="13"/>
  <c r="F212" i="13"/>
  <c r="F213" i="13"/>
  <c r="F214" i="13"/>
  <c r="F215" i="13"/>
  <c r="F216" i="13"/>
  <c r="F217" i="13"/>
  <c r="F218" i="13"/>
  <c r="F219" i="13"/>
  <c r="F220" i="13"/>
  <c r="F210" i="13"/>
  <c r="K15" i="1"/>
  <c r="K14" i="1"/>
  <c r="K12" i="1"/>
  <c r="B221" i="13" a="1"/>
  <c r="K13" i="1"/>
  <c r="Y11" i="1" l="1"/>
  <c r="AC11" i="1" s="1"/>
  <c r="Z11" i="1"/>
  <c r="B221" i="13"/>
  <c r="Q52" i="1"/>
  <c r="Q47"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AB50" i="1" l="1"/>
  <c r="AA50" i="1" s="1"/>
  <c r="AB51" i="1"/>
  <c r="AA51" i="1" s="1"/>
  <c r="X64" i="1"/>
  <c r="X58" i="1"/>
  <c r="X52" i="1"/>
  <c r="X46" i="1"/>
  <c r="X50" i="1"/>
  <c r="X51" i="1"/>
  <c r="Y64" i="1" l="1"/>
  <c r="Z64" i="1"/>
  <c r="X65" i="1" s="1"/>
  <c r="Y65" i="1" s="1"/>
  <c r="Y58" i="1"/>
  <c r="Z58" i="1"/>
  <c r="X59" i="1" s="1"/>
  <c r="Z59" i="1" s="1"/>
  <c r="X60" i="1" s="1"/>
  <c r="Y52" i="1"/>
  <c r="Z52" i="1"/>
  <c r="X53" i="1" s="1"/>
  <c r="Z53" i="1" s="1"/>
  <c r="X54" i="1" s="1"/>
  <c r="Y51" i="1"/>
  <c r="Z51" i="1"/>
  <c r="Y50" i="1"/>
  <c r="Z50" i="1"/>
  <c r="Y46" i="1"/>
  <c r="Z46" i="1"/>
  <c r="Y59" i="1" l="1"/>
  <c r="Y53" i="1"/>
  <c r="Z60" i="1"/>
  <c r="X61" i="1" s="1"/>
  <c r="Y60" i="1"/>
  <c r="Z54" i="1"/>
  <c r="X55" i="1" s="1"/>
  <c r="Y54" i="1"/>
  <c r="Z65" i="1"/>
  <c r="X66" i="1" s="1"/>
  <c r="X47" i="1"/>
  <c r="X48"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Y61" i="1" l="1"/>
  <c r="Z61" i="1"/>
  <c r="Y55" i="1"/>
  <c r="Z55" i="1"/>
  <c r="X56" i="1" s="1"/>
  <c r="Y48" i="1"/>
  <c r="Z48" i="1"/>
  <c r="X49" i="1" s="1"/>
  <c r="Y66" i="1"/>
  <c r="Z66" i="1"/>
  <c r="X67" i="1" s="1"/>
  <c r="Y47" i="1"/>
  <c r="Z47" i="1"/>
  <c r="Y56" i="1" l="1"/>
  <c r="Z56" i="1"/>
  <c r="X57" i="1" s="1"/>
  <c r="X62" i="1"/>
  <c r="X63" i="1"/>
  <c r="Y49" i="1"/>
  <c r="Z49" i="1"/>
  <c r="Z67" i="1"/>
  <c r="Y67" i="1"/>
  <c r="Y63" i="1" l="1"/>
  <c r="Z63" i="1"/>
  <c r="Y62" i="1"/>
  <c r="Z62" i="1"/>
  <c r="Y57" i="1"/>
  <c r="Z57" i="1"/>
  <c r="X68" i="1"/>
  <c r="X69" i="1"/>
  <c r="X10" i="1"/>
  <c r="Y10" i="1" s="1"/>
  <c r="Y69" i="1" l="1"/>
  <c r="Z69" i="1"/>
  <c r="Y68" i="1"/>
  <c r="Z68" i="1"/>
  <c r="Z10" i="1" l="1"/>
  <c r="AB66" i="1" l="1"/>
  <c r="AB59" i="1"/>
  <c r="AB58" i="1"/>
  <c r="AB53" i="1"/>
  <c r="AB52" i="1"/>
  <c r="AA52" i="1" s="1"/>
  <c r="AB47" i="1"/>
  <c r="AB46" i="1"/>
  <c r="AA46" i="1" s="1"/>
  <c r="AC52"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A53" i="1"/>
  <c r="AB54" i="1"/>
  <c r="AA59" i="1"/>
  <c r="AB60"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A60" i="1"/>
  <c r="AB61" i="1"/>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61" i="1"/>
  <c r="AB62" i="1"/>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A56" i="1"/>
  <c r="AB57" i="1"/>
  <c r="AA57" i="1" s="1"/>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AA62" i="1"/>
  <c r="AB63" i="1"/>
  <c r="AA63" i="1" s="1"/>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K46" i="1" l="1"/>
  <c r="L46" i="1" s="1"/>
  <c r="K10" i="1"/>
  <c r="L10" i="1" s="1"/>
  <c r="K64" i="1"/>
  <c r="L64" i="1" s="1"/>
  <c r="K58" i="1"/>
  <c r="L58" i="1" s="1"/>
  <c r="K52" i="1"/>
  <c r="L52" i="1" s="1"/>
  <c r="Z42" i="18" l="1"/>
  <c r="AF18" i="18"/>
  <c r="T18" i="18"/>
  <c r="Z26" i="18"/>
  <c r="AF34" i="18"/>
  <c r="AL34" i="18"/>
  <c r="AF42" i="18"/>
  <c r="N42" i="18"/>
  <c r="T10" i="18"/>
  <c r="Z18" i="18"/>
  <c r="N58" i="1"/>
  <c r="AL10" i="18"/>
  <c r="AL42" i="18"/>
  <c r="AL26" i="18"/>
  <c r="AF26" i="18"/>
  <c r="N34" i="18"/>
  <c r="Z10" i="18"/>
  <c r="M58" i="1"/>
  <c r="N18" i="18"/>
  <c r="AF10" i="18"/>
  <c r="T26" i="18"/>
  <c r="N26" i="18"/>
  <c r="T34" i="18"/>
  <c r="AL18" i="18"/>
  <c r="T42" i="18"/>
  <c r="N10" i="18"/>
  <c r="Z34" i="18"/>
  <c r="AB38" i="18"/>
  <c r="AB22" i="18"/>
  <c r="P22" i="18"/>
  <c r="V30" i="18"/>
  <c r="AB30" i="18"/>
  <c r="AB14" i="18"/>
  <c r="M10" i="1"/>
  <c r="AB10" i="1" s="1"/>
  <c r="AA10" i="1" s="1"/>
  <c r="AH30" i="18"/>
  <c r="J30" i="18"/>
  <c r="J22" i="18"/>
  <c r="P38" i="18"/>
  <c r="V38" i="18"/>
  <c r="AB6" i="18"/>
  <c r="N10" i="1"/>
  <c r="P14" i="18"/>
  <c r="J38" i="18"/>
  <c r="V22" i="18"/>
  <c r="AH6" i="18"/>
  <c r="V14" i="18"/>
  <c r="V6" i="18"/>
  <c r="J6" i="18"/>
  <c r="AH14" i="18"/>
  <c r="P30" i="18"/>
  <c r="AH38" i="18"/>
  <c r="AH22" i="18"/>
  <c r="J14" i="18"/>
  <c r="P6" i="18"/>
  <c r="AH12" i="18"/>
  <c r="V12" i="18"/>
  <c r="J20" i="18"/>
  <c r="V28" i="18"/>
  <c r="J44" i="18"/>
  <c r="AH44" i="18"/>
  <c r="AB28" i="18"/>
  <c r="P28" i="18"/>
  <c r="AH28" i="18"/>
  <c r="N64" i="1"/>
  <c r="V36" i="18"/>
  <c r="P12" i="18"/>
  <c r="V20" i="18"/>
  <c r="M64" i="1"/>
  <c r="AB64" i="1" s="1"/>
  <c r="AA64" i="1" s="1"/>
  <c r="AH20" i="18"/>
  <c r="AB20" i="18"/>
  <c r="P44" i="18"/>
  <c r="J28" i="18"/>
  <c r="AB12" i="18"/>
  <c r="P20" i="18"/>
  <c r="AB36" i="18"/>
  <c r="P36" i="18"/>
  <c r="J12" i="18"/>
  <c r="AB44" i="18"/>
  <c r="AH36" i="18"/>
  <c r="V44" i="18"/>
  <c r="J36" i="18"/>
  <c r="AH42" i="18"/>
  <c r="V18" i="18"/>
  <c r="AB26" i="18"/>
  <c r="AB34" i="18"/>
  <c r="AH26" i="18"/>
  <c r="AB42" i="18"/>
  <c r="V26" i="18"/>
  <c r="AH18" i="18"/>
  <c r="V42" i="18"/>
  <c r="J34" i="18"/>
  <c r="P26" i="18"/>
  <c r="J10" i="18"/>
  <c r="V10" i="18"/>
  <c r="M46" i="1"/>
  <c r="AB10" i="18"/>
  <c r="J42" i="18"/>
  <c r="J18" i="18"/>
  <c r="P34" i="18"/>
  <c r="N46" i="1"/>
  <c r="AB18" i="18"/>
  <c r="AH34" i="18"/>
  <c r="J26" i="18"/>
  <c r="P10" i="18"/>
  <c r="AH10" i="18"/>
  <c r="V34" i="18"/>
  <c r="P18" i="18"/>
  <c r="P42" i="18"/>
  <c r="R34" i="18"/>
  <c r="X42" i="18"/>
  <c r="L34" i="18"/>
  <c r="AD34" i="18"/>
  <c r="AJ42" i="18"/>
  <c r="AD10" i="18"/>
  <c r="R10" i="18"/>
  <c r="R42" i="18"/>
  <c r="L42" i="18"/>
  <c r="X26" i="18"/>
  <c r="L26" i="18"/>
  <c r="AJ18" i="18"/>
  <c r="X18" i="18"/>
  <c r="N52" i="1"/>
  <c r="AJ26" i="18"/>
  <c r="R18" i="18"/>
  <c r="X34" i="18"/>
  <c r="AJ10" i="18"/>
  <c r="AD26" i="18"/>
  <c r="AD42" i="18"/>
  <c r="AJ34" i="18"/>
  <c r="X10" i="18"/>
  <c r="R26" i="18"/>
  <c r="AD18" i="18"/>
  <c r="M52" i="1"/>
  <c r="L10" i="18"/>
  <c r="L18" i="18"/>
  <c r="L16" i="18"/>
  <c r="R40" i="18"/>
  <c r="R24" i="18"/>
  <c r="L40" i="18"/>
  <c r="L8" i="18"/>
  <c r="X16" i="18"/>
  <c r="X32" i="18"/>
  <c r="R32" i="18"/>
  <c r="AJ40" i="18"/>
  <c r="AJ16" i="18"/>
  <c r="R16" i="18"/>
  <c r="R8" i="18"/>
  <c r="AD40" i="18"/>
  <c r="AD32" i="18"/>
  <c r="AJ32" i="18"/>
  <c r="AD24" i="18"/>
  <c r="AD8" i="18"/>
  <c r="L24" i="18"/>
  <c r="X40" i="18"/>
  <c r="X24" i="18"/>
  <c r="AJ8" i="18"/>
  <c r="AJ24" i="18"/>
  <c r="L32" i="18"/>
  <c r="AD16" i="18"/>
  <c r="X8" i="18"/>
  <c r="AL40" i="18"/>
  <c r="Z16" i="18"/>
  <c r="T8" i="18"/>
  <c r="T24" i="18"/>
  <c r="AF16" i="18"/>
  <c r="AL24" i="18"/>
  <c r="AF24" i="18"/>
  <c r="T16" i="18"/>
  <c r="AL8" i="18"/>
  <c r="Z32" i="18"/>
  <c r="N8" i="18"/>
  <c r="N32" i="18"/>
  <c r="N16" i="18"/>
  <c r="Z8" i="18"/>
  <c r="N24" i="18"/>
  <c r="AF32" i="18"/>
  <c r="AF40" i="18"/>
  <c r="Z24" i="18"/>
  <c r="AL16" i="18"/>
  <c r="T32" i="18"/>
  <c r="T40" i="18"/>
  <c r="AL32" i="18"/>
  <c r="Z40" i="18"/>
  <c r="N40" i="18"/>
  <c r="AF8" i="18"/>
  <c r="AF30" i="18"/>
  <c r="T14" i="18"/>
  <c r="Z22" i="18"/>
  <c r="AL38" i="18"/>
  <c r="T30" i="18"/>
  <c r="N14" i="18"/>
  <c r="T38" i="18"/>
  <c r="AL6" i="18"/>
  <c r="T22" i="18"/>
  <c r="Z14" i="18"/>
  <c r="AL14" i="18"/>
  <c r="Z38" i="18"/>
  <c r="N22" i="18"/>
  <c r="AF22" i="18"/>
  <c r="Z6" i="18"/>
  <c r="N6" i="18"/>
  <c r="AF6" i="18"/>
  <c r="AF14" i="18"/>
  <c r="AF38" i="18"/>
  <c r="N38" i="18"/>
  <c r="AL30" i="18"/>
  <c r="Z30" i="18"/>
  <c r="AL22" i="18"/>
  <c r="N30" i="18"/>
  <c r="T6" i="18"/>
  <c r="J40" i="18"/>
  <c r="J8" i="18"/>
  <c r="AB40" i="18"/>
  <c r="AB32" i="18"/>
  <c r="AH32" i="18"/>
  <c r="AB8" i="18"/>
  <c r="AB24" i="18"/>
  <c r="J16" i="18"/>
  <c r="J24" i="18"/>
  <c r="P32" i="18"/>
  <c r="J32" i="18"/>
  <c r="V24" i="18"/>
  <c r="P8" i="18"/>
  <c r="P24" i="18"/>
  <c r="P16" i="18"/>
  <c r="AH16" i="18"/>
  <c r="P40" i="18"/>
  <c r="V16" i="18"/>
  <c r="V32" i="18"/>
  <c r="V8" i="18"/>
  <c r="AB16" i="18"/>
  <c r="AH24" i="18"/>
  <c r="V40" i="18"/>
  <c r="AH8" i="18"/>
  <c r="AH40" i="18"/>
  <c r="AD30" i="18"/>
  <c r="X6" i="18"/>
  <c r="L38" i="18"/>
  <c r="R30" i="18"/>
  <c r="AD14" i="18"/>
  <c r="X22" i="18"/>
  <c r="AJ6" i="18"/>
  <c r="L6" i="18"/>
  <c r="AD6" i="18"/>
  <c r="AD22" i="18"/>
  <c r="X38" i="18"/>
  <c r="R14" i="18"/>
  <c r="AD38" i="18"/>
  <c r="L14" i="18"/>
  <c r="R38" i="18"/>
  <c r="R6" i="18"/>
  <c r="AJ14" i="18"/>
  <c r="X14" i="18"/>
  <c r="X30" i="18"/>
  <c r="L30" i="18"/>
  <c r="L22" i="18"/>
  <c r="AJ38" i="18"/>
  <c r="AJ30" i="18"/>
  <c r="AJ22" i="18"/>
  <c r="R22" i="18"/>
  <c r="V25" i="19" l="1"/>
  <c r="AH15" i="19"/>
  <c r="V45" i="19"/>
  <c r="V35" i="19"/>
  <c r="J15" i="19"/>
  <c r="J55" i="19"/>
  <c r="AB45" i="19"/>
  <c r="AH25" i="19"/>
  <c r="AB55" i="19"/>
  <c r="AH55" i="19"/>
  <c r="AC64" i="1"/>
  <c r="AB15" i="19"/>
  <c r="AB25" i="19"/>
  <c r="P15" i="19"/>
  <c r="P45" i="19"/>
  <c r="J45" i="19"/>
  <c r="V15" i="19"/>
  <c r="P25" i="19"/>
  <c r="J35" i="19"/>
  <c r="P35" i="19"/>
  <c r="AH45" i="19"/>
  <c r="AH35" i="19"/>
  <c r="J25" i="19"/>
  <c r="V55" i="19"/>
  <c r="AB35" i="19"/>
  <c r="P55" i="19"/>
  <c r="AB21" i="19"/>
  <c r="AB31" i="19"/>
  <c r="V31" i="19"/>
  <c r="V21" i="19"/>
  <c r="AH51" i="19"/>
  <c r="P31" i="19"/>
  <c r="AH41" i="19"/>
  <c r="AB51" i="19"/>
  <c r="AH21" i="19"/>
  <c r="AH31" i="19"/>
  <c r="AH11" i="19"/>
  <c r="J11" i="19"/>
  <c r="J31" i="19"/>
  <c r="P41" i="19"/>
  <c r="P21" i="19"/>
  <c r="AB11" i="19"/>
  <c r="V51" i="19"/>
  <c r="J41" i="19"/>
  <c r="V11" i="19"/>
  <c r="AB41" i="19"/>
  <c r="J21" i="19"/>
  <c r="V41" i="19"/>
  <c r="P51" i="19"/>
  <c r="J51" i="19"/>
  <c r="P11" i="19"/>
  <c r="J39" i="19"/>
  <c r="P9" i="19"/>
  <c r="AH9" i="19"/>
  <c r="P29" i="19"/>
  <c r="J49" i="19"/>
  <c r="V19" i="19"/>
  <c r="J9" i="19"/>
  <c r="AB39" i="19"/>
  <c r="AB9" i="19"/>
  <c r="J29" i="19"/>
  <c r="AB49" i="19"/>
  <c r="P19" i="19"/>
  <c r="AH19" i="19"/>
  <c r="AH49" i="19"/>
  <c r="V39" i="19"/>
  <c r="J19" i="19"/>
  <c r="AB29" i="19"/>
  <c r="V49" i="19"/>
  <c r="AH29" i="19"/>
  <c r="P39" i="19"/>
  <c r="V9" i="19"/>
  <c r="V29" i="19"/>
  <c r="P49" i="19"/>
  <c r="AH39" i="19"/>
  <c r="AB19" i="19"/>
  <c r="AH7" i="19"/>
  <c r="V47" i="19"/>
  <c r="V7" i="19"/>
  <c r="P17" i="19"/>
  <c r="AB17" i="19"/>
  <c r="P7" i="19"/>
  <c r="P47" i="19"/>
  <c r="J37" i="19"/>
  <c r="AH37" i="19"/>
  <c r="V17" i="19"/>
  <c r="J7" i="19"/>
  <c r="AH27" i="19"/>
  <c r="J47" i="19"/>
  <c r="AB27" i="19"/>
  <c r="AB37" i="19"/>
  <c r="P27" i="19"/>
  <c r="AH47" i="19"/>
  <c r="V37" i="19"/>
  <c r="AB47" i="19"/>
  <c r="V27" i="19"/>
  <c r="J17" i="19"/>
  <c r="J27" i="19"/>
  <c r="AB7" i="19"/>
  <c r="P37" i="19"/>
  <c r="AH17" i="19"/>
  <c r="J40" i="19"/>
  <c r="V20" i="19"/>
  <c r="J50" i="19"/>
  <c r="P50" i="19"/>
  <c r="J10" i="19"/>
  <c r="V10" i="19"/>
  <c r="V40" i="19"/>
  <c r="V30" i="19"/>
  <c r="AH10" i="19"/>
  <c r="AB40" i="19"/>
  <c r="AB10" i="19"/>
  <c r="AB20" i="19"/>
  <c r="P20" i="19"/>
  <c r="AB30" i="19"/>
  <c r="AH20" i="19"/>
  <c r="P10" i="19"/>
  <c r="P30" i="19"/>
  <c r="AH30" i="19"/>
  <c r="AH50" i="19"/>
  <c r="J20" i="19"/>
  <c r="J30" i="19"/>
  <c r="AB50" i="19"/>
  <c r="V50" i="19"/>
  <c r="AH40" i="19"/>
  <c r="P40" i="19"/>
  <c r="AB28" i="19"/>
  <c r="V38" i="19"/>
  <c r="AH28" i="19"/>
  <c r="AB38" i="19"/>
  <c r="V48" i="19"/>
  <c r="P8" i="19"/>
  <c r="P38" i="19"/>
  <c r="AH38" i="19"/>
  <c r="P48" i="19"/>
  <c r="AB18" i="19"/>
  <c r="J8" i="19"/>
  <c r="J18" i="19"/>
  <c r="AH8" i="19"/>
  <c r="AB48" i="19"/>
  <c r="V8" i="19"/>
  <c r="AH48" i="19"/>
  <c r="AH18" i="19"/>
  <c r="V18" i="19"/>
  <c r="J38" i="19"/>
  <c r="P18" i="19"/>
  <c r="J28" i="19"/>
  <c r="J48" i="19"/>
  <c r="V28" i="19"/>
  <c r="AB8" i="19"/>
  <c r="P28" i="19"/>
  <c r="P16" i="19"/>
  <c r="V26" i="19"/>
  <c r="P6" i="19"/>
  <c r="AH36" i="19"/>
  <c r="AH6" i="19"/>
  <c r="P26" i="19"/>
  <c r="V46" i="19"/>
  <c r="V16" i="19"/>
  <c r="AH46" i="19"/>
  <c r="V36" i="19"/>
  <c r="AB46" i="19"/>
  <c r="AC10" i="1"/>
  <c r="AB36" i="19"/>
  <c r="J6" i="19"/>
  <c r="AB6" i="19"/>
  <c r="P46" i="19"/>
  <c r="P36" i="19"/>
  <c r="AB26" i="19"/>
  <c r="J36" i="19"/>
  <c r="AH16" i="19"/>
  <c r="AB16" i="19"/>
  <c r="J26" i="19"/>
  <c r="AH26" i="19"/>
  <c r="V6" i="19"/>
  <c r="J16" i="19"/>
  <c r="J46"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<sst xmlns="http://schemas.openxmlformats.org/spreadsheetml/2006/main" count="334" uniqueCount="233">
  <si>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</si>
  <si>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</si>
  <si>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</si>
  <si>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</si>
  <si>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</si>
  <si>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</si>
  <si>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</si>
  <si>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</si>
  <si>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</si>
  <si>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</si>
  <si>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</si>
  <si>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</si>
  <si>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</si>
  <si>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</si>
  <si>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</si>
  <si>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</si>
  <si>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</si>
  <si>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</si>
  <si>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</si>
  <si>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</si>
  <si>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</si>
  <si>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</si>
  <si>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</si>
  <si>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</si>
  <si>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</si>
  <si>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</si>
  <si>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</si>
  <si>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</si>
  <si>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</si>
  <si>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</si>
  <si>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</si>
  <si>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</si>
  <si>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</si>
  <si>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</si>
  <si>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</si>
  <si>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</si>
  <si>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</si>
  <si>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</si>
  <si>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</si>
  <si>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</si>
  <si>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</si>
  <si>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</si>
  <si>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</si>
  <si>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</si>
  <si>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</si>
  <si>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</si>
  <si>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</si>
  <si>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</si>
  <si>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</si>
  <si>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</si>
  <si>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</si>
  <si>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</si>
  <si>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</si>
  <si>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</si>
  <si>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</si>
  <si>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</si>
  <si>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</si>
  <si>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</si>
  <si>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</si>
  <si>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</si>
  <si>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</si>
  <si>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</si>
  <si>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</si>
  <si>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</si>
  <si>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</si>
  <si>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</si>
  <si>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</si>
  <si>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</si>
  <si>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</si>
  <si>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</si>
  <si>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</si>
  <si>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</si>
  <si>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</si>
  <si>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</si>
  <si>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</si>
  <si>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</si>
  <si>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</si>
  <si>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</si>
  <si>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</si>
  <si>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</si>
  <si>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</si>
  <si>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</si>
  <si>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</si>
  <si>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</si>
  <si>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</si>
  <si>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</si>
  <si>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</si>
  <si>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</si>
  <si>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</si>
  <si>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</si>
  <si>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</si>
  <si>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</si>
  <si>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</si>
  <si>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</si>
  <si>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</si>
  <si>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</si>
  <si>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</si>
  <si>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</si>
  <si>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</si>
  <si>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</si>
  <si>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</si>
  <si>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</si>
  <si>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</si>
  <si>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</si>
  <si>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</si>
  <si>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</si>
  <si>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</si>
  <si>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</si>
  <si>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</si>
  <si>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</si>
  <si>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</si>
  <si>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</si>
  <si>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</si>
  <si>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</si>
  <si>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</si>
  <si>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</si>
  <si>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</si>
  <si>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</si>
  <si>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</si>
  <si>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</si>
  <si>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</si>
  <si>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</si>
  <si>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</si>
  <si>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</si>
  <si>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</si>
  <si>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</si>
  <si>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</si>
  <si>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</si>
  <si>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</si>
  <si>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</si>
  <si>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</si>
  <si>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</si>
  <si>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</si>
  <si>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</si>
  <si>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</si>
  <si>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</si>
  <si>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</si>
  <si>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</si>
  <si>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</si>
  <si>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</si>
  <si>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</si>
  <si>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</si>
  <si>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</si>
  <si>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</si>
  <si>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</si>
  <si>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</si>
  <si>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</si>
  <si>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</si>
  <si>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</si>
  <si>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</si>
  <si>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</si>
  <si>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</si>
  <si>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</si>
  <si>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</si>
  <si>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</si>
  <si>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</si>
  <si>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</si>
  <si>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</si>
  <si>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</si>
  <si>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</si>
  <si>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</si>
  <si>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</si>
  <si>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</si>
  <si>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</si>
  <si>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</si>
  <si>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</si>
  <si>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</si>
  <si>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</si>
  <si>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</si>
  <si>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</si>
  <si>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</si>
  <si>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</si>
  <si>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</si>
  <si>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</si>
  <si>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</si>
  <si>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</si>
  <si>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</si>
  <si>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</si>
  <si>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</si>
  <si>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</si>
  <si>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</si>
  <si>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</si>
  <si>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</si>
  <si>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</si>
  <si>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</si>
  <si>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</si>
  <si>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</si>
  <si>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</si>
  <si>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</si>
  <si>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</si>
  <si>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</si>
  <si>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</si>
  <si>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</si>
  <si>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</si>
  <si>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</si>
  <si>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</si>
  <si>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</si>
  <si>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</si>
  <si>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</si>
  <si>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</si>
  <si>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</si>
  <si>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</si>
  <si>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</si>
  <si>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</si>
  <si>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</si>
  <si>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</si>
  <si>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</si>
  <si>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</si>
  <si>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</si>
  <si>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</si>
  <si>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</si>
  <si>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</si>
  <si>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El líder del proceso responsable deberá presentar informe a la oficina de Control Interno de acuerdo al control descrito y al plan de acción teniendo en cuenta la fecha de seguimiento.</t>
  </si>
  <si>
    <t xml:space="preserve">                       Elaboró:  Jhannier Jhoan Jaramillo Tabima - Contratista de Apoyo</t>
  </si>
  <si>
    <t>Cuatrimestral</t>
  </si>
  <si>
    <t>Revisó:  Martha Contreras- Líder del Proceso</t>
  </si>
  <si>
    <t>Gestión Jurídica</t>
  </si>
  <si>
    <t>Posibilidad de afectación reputacional por fraude en la información suministrada dentro de los procesos contractuales</t>
  </si>
  <si>
    <t xml:space="preserve">El jefe del proceso definirá la actualización periodica de los procesos contractuales  por parte de los funcionarios encargados,  con el fín de evitar que se presenten fraudes al momento de las evaluaciones pertinetes.  </t>
  </si>
  <si>
    <t>El jefe del proceso dispondrá de personal para que realice periodicamente la verifiación de la información y documentación suministrada por parte de los propoentes o futuros contratistas así como también funcionarios (Servidores públicos)</t>
  </si>
  <si>
    <r>
      <rPr>
        <b/>
        <sz val="18"/>
        <color theme="9" tint="-0.249977111117893"/>
        <rFont val="Arial Narrow"/>
        <family val="2"/>
      </rPr>
      <t xml:space="preserve">*Nota: </t>
    </r>
    <r>
      <rPr>
        <sz val="18"/>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</si>
  <si>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MAPA DE RIESGOS</t>
  </si>
  <si>
    <t>GESTION JURIDICA</t>
  </si>
  <si>
    <t>VERSION 6</t>
  </si>
  <si>
    <t>JULIO DE 2023</t>
  </si>
  <si>
    <t xml:space="preserve">Falta de conocimiento de la obligación por parte del funcionario encargado . Negligencia por parte del funcionario en hacer la verificación. </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</si>
  <si>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y empresas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</si>
  <si>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 xml:space="preserve">Falta de verificación por parte de la empresa de la documentación e información suministrada por proponente o contratistas. </t>
  </si>
  <si>
    <t>Determinar las directrices y estándares para simplificar y homogenizar las acciones que se desarrollan en las diferentes étapas contractuales para cumplir con las funciones,  metas y objetivos empresariales.</t>
  </si>
  <si>
    <t xml:space="preserve">Inicia con la necesidad de establecer un programa de Gestión Jurídica  el cual es responsabilidad de la empresa  y  esta coordinado por el Gerente General. </t>
  </si>
  <si>
    <t>Gerente General y quien él delegue.</t>
  </si>
  <si>
    <t>Aprobó:  Luis Ernesto Ramirez Valencia -Gerente General</t>
  </si>
  <si>
    <t>agosto 31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</si>
</sst>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1"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8"/>
      <color theme="1"/>
      <name val="Arial"/>
      <family val="2"/>
    </font>
    <font>
      <sz val="18"/>
      <color theme="1"/>
      <name val="Arial"/>
      <family val="2"/>
    </font>
    <font>
      <sz val="18"/>
      <name val="Arial Narrow"/>
      <family val="2"/>
    </font>
    <font>
      <sz val="18"/>
      <name val="Tahoma"/>
      <family val="2"/>
    </font>
    <font>
      <b/>
      <sz val="18"/>
      <color theme="9" tint="-0.249977111117893"/>
      <name val="Arial Narrow"/>
      <family val="2"/>
    </font>
    <font>
      <sz val="18"/>
      <color rgb="FFFF0000"/>
      <name val="Arial"/>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theme="0"/>
      </patternFill>
    </fill>
  </fills>
  <borders count="71">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auto="1"/>
      </top>
      <bottom/>
      <diagonal/>
    </border>
  </borders>
  <cellStyleXfs count="5">
    <xf numFmtId="0" fontId="0" fillId="0" borderId="0"/>
    <xf numFmtId="9" fontId="12" fillId="0" borderId="0" applyFont="0" applyFill="0" applyBorder="0" applyAlignment="0" applyProtection="0"/>
    <xf numFmtId="0" fontId="44" fillId="0" borderId="0"/>
    <xf numFmtId="0" fontId="45" fillId="0" borderId="0"/>
    <xf numFmtId="0" fontId="4" fillId="0" borderId="0"/>
  </cellStyleXfs>
  <cellXfs count="450">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2" xfId="0" applyFont="1" applyFill="1" applyBorder="1" applyAlignment="1">
      <alignment horizontal="center" vertical="center" wrapText="1" readingOrder="1"/>
    </xf>
    <xf numFmtId="0" fontId="8" fillId="0" borderId="2" xfId="0" applyFont="1" applyBorder="1" applyAlignment="1">
      <alignment horizontal="justify" vertical="center" wrapText="1" readingOrder="1"/>
    </xf>
    <xf numFmtId="9" fontId="8" fillId="0" borderId="2"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6" borderId="0" xfId="0" applyFont="1" applyFill="1" applyAlignment="1">
      <alignment horizontal="center" vertical="center" wrapText="1" readingOrder="1"/>
    </xf>
    <xf numFmtId="0" fontId="30" fillId="0" borderId="2"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5" borderId="2"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0" fillId="4" borderId="1" xfId="0" applyFont="1" applyFill="1" applyBorder="1" applyAlignment="1">
      <alignment horizontal="center" vertical="center" wrapText="1" readingOrder="1"/>
    </xf>
    <xf numFmtId="0" fontId="30" fillId="8" borderId="1" xfId="0" applyFont="1" applyFill="1" applyBorder="1" applyAlignment="1">
      <alignment horizontal="center" vertical="center" wrapText="1" readingOrder="1"/>
    </xf>
    <xf numFmtId="0" fontId="31" fillId="9" borderId="1" xfId="0" applyFont="1" applyFill="1" applyBorder="1" applyAlignment="1">
      <alignment horizontal="center" vertical="center" wrapText="1" readingOrder="1"/>
    </xf>
    <xf numFmtId="0" fontId="30" fillId="0" borderId="2"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1" borderId="3"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1" borderId="4" xfId="0" applyFont="1" applyFill="1" applyBorder="1" applyAlignment="1" applyProtection="1">
      <alignment horizontal="center" vertical="center" wrapText="1" readingOrder="1"/>
      <protection hidden="1"/>
    </xf>
    <xf numFmtId="0" fontId="17" fillId="12" borderId="3"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2" borderId="4" xfId="0" applyFont="1" applyFill="1" applyBorder="1" applyAlignment="1" applyProtection="1">
      <alignment horizontal="center" wrapText="1" readingOrder="1"/>
      <protection hidden="1"/>
    </xf>
    <xf numFmtId="0" fontId="17" fillId="11" borderId="5"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3" borderId="3"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13" borderId="4"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5" borderId="3"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17" fillId="5" borderId="4"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21" fillId="13" borderId="10" xfId="0" applyFont="1" applyFill="1" applyBorder="1" applyAlignment="1" applyProtection="1">
      <alignment horizontal="center" wrapText="1" readingOrder="1"/>
      <protection hidden="1"/>
    </xf>
    <xf numFmtId="0" fontId="0" fillId="3" borderId="0" xfId="0" applyFill="1"/>
    <xf numFmtId="0" fontId="46" fillId="3" borderId="37" xfId="2" applyFont="1" applyFill="1" applyBorder="1"/>
    <xf numFmtId="0" fontId="46" fillId="3" borderId="38" xfId="2" applyFont="1" applyFill="1" applyBorder="1"/>
    <xf numFmtId="0" fontId="46" fillId="3" borderId="39" xfId="2" applyFont="1" applyFill="1" applyBorder="1"/>
    <xf numFmtId="0" fontId="14" fillId="3" borderId="0" xfId="0" applyFont="1" applyFill="1" applyAlignment="1">
      <alignment vertical="center"/>
    </xf>
    <xf numFmtId="0" fontId="4" fillId="3" borderId="0" xfId="0" applyFont="1" applyFill="1"/>
    <xf numFmtId="0" fontId="33" fillId="3" borderId="0" xfId="0" applyFont="1" applyFill="1"/>
    <xf numFmtId="0" fontId="34" fillId="3" borderId="20" xfId="0" applyFont="1" applyFill="1" applyBorder="1" applyAlignment="1">
      <alignment horizontal="center" vertical="center" wrapText="1" readingOrder="1"/>
    </xf>
    <xf numFmtId="0" fontId="35" fillId="3" borderId="20" xfId="0" applyFont="1" applyFill="1" applyBorder="1" applyAlignment="1">
      <alignment horizontal="justify" vertical="center" wrapText="1" readingOrder="1"/>
    </xf>
    <xf numFmtId="9" fontId="34" fillId="3" borderId="29" xfId="0" applyNumberFormat="1" applyFont="1" applyFill="1" applyBorder="1" applyAlignment="1">
      <alignment horizontal="center" vertical="center" wrapText="1" readingOrder="1"/>
    </xf>
    <xf numFmtId="0" fontId="34" fillId="3" borderId="19" xfId="0" applyFont="1" applyFill="1" applyBorder="1" applyAlignment="1">
      <alignment horizontal="center" vertical="center" wrapText="1" readingOrder="1"/>
    </xf>
    <xf numFmtId="0" fontId="35" fillId="3" borderId="19" xfId="0" applyFont="1" applyFill="1" applyBorder="1" applyAlignment="1">
      <alignment horizontal="justify" vertical="center" wrapText="1" readingOrder="1"/>
    </xf>
    <xf numFmtId="9" fontId="34" fillId="3" borderId="24" xfId="0" applyNumberFormat="1" applyFont="1" applyFill="1" applyBorder="1" applyAlignment="1">
      <alignment horizontal="center" vertical="center" wrapText="1" readingOrder="1"/>
    </xf>
    <xf numFmtId="0" fontId="35" fillId="3" borderId="24" xfId="0"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5" fillId="3" borderId="26" xfId="0" applyFont="1" applyFill="1" applyBorder="1" applyAlignment="1">
      <alignment horizontal="justify" vertical="center" wrapText="1" readingOrder="1"/>
    </xf>
    <xf numFmtId="0" fontId="35" fillId="3" borderId="27" xfId="0" applyFont="1" applyFill="1" applyBorder="1" applyAlignment="1">
      <alignment horizontal="center" vertical="center" wrapText="1" readingOrder="1"/>
    </xf>
    <xf numFmtId="0" fontId="43" fillId="3" borderId="0" xfId="0" applyFont="1" applyFill="1"/>
    <xf numFmtId="0" fontId="34" fillId="15" borderId="31" xfId="0" applyFont="1" applyFill="1" applyBorder="1" applyAlignment="1">
      <alignment horizontal="center" vertical="center" wrapText="1" readingOrder="1"/>
    </xf>
    <xf numFmtId="0" fontId="34" fillId="15" borderId="32" xfId="0" applyFont="1" applyFill="1" applyBorder="1" applyAlignment="1">
      <alignment horizontal="center" vertical="center" wrapText="1" readingOrder="1"/>
    </xf>
    <xf numFmtId="0" fontId="11" fillId="3" borderId="0" xfId="0" applyFont="1" applyFill="1"/>
    <xf numFmtId="0" fontId="28"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6" fillId="3" borderId="5" xfId="2" applyFont="1" applyFill="1" applyBorder="1"/>
    <xf numFmtId="0" fontId="51" fillId="3" borderId="0" xfId="0" applyFont="1" applyFill="1" applyAlignment="1">
      <alignment horizontal="left" vertical="center" wrapText="1"/>
    </xf>
    <xf numFmtId="0" fontId="52" fillId="3" borderId="0" xfId="0" applyFont="1" applyFill="1" applyAlignment="1">
      <alignment horizontal="left" vertical="top" wrapText="1"/>
    </xf>
    <xf numFmtId="0" fontId="46" fillId="3" borderId="0" xfId="2" applyFont="1" applyFill="1"/>
    <xf numFmtId="0" fontId="46" fillId="3" borderId="6" xfId="2" applyFont="1" applyFill="1" applyBorder="1"/>
    <xf numFmtId="0" fontId="46" fillId="3" borderId="7" xfId="2" applyFont="1" applyFill="1" applyBorder="1"/>
    <xf numFmtId="0" fontId="46" fillId="3" borderId="9" xfId="2" applyFont="1" applyFill="1" applyBorder="1"/>
    <xf numFmtId="0" fontId="46" fillId="3" borderId="8" xfId="2" applyFont="1" applyFill="1" applyBorder="1"/>
    <xf numFmtId="0" fontId="50" fillId="3" borderId="0" xfId="2" applyFont="1" applyFill="1" applyAlignment="1">
      <alignment horizontal="left" vertical="center" wrapText="1"/>
    </xf>
    <xf numFmtId="0" fontId="46" fillId="3" borderId="0" xfId="2" applyFont="1" applyFill="1" applyAlignment="1">
      <alignment horizontal="left" vertical="center" wrapText="1"/>
    </xf>
    <xf numFmtId="0" fontId="46" fillId="3" borderId="0" xfId="2" quotePrefix="1" applyFont="1" applyFill="1" applyAlignment="1">
      <alignment horizontal="left" vertical="center" wrapText="1"/>
    </xf>
    <xf numFmtId="0" fontId="48" fillId="3" borderId="5" xfId="2" quotePrefix="1" applyFont="1" applyFill="1" applyBorder="1" applyAlignment="1">
      <alignment horizontal="left" vertical="top" wrapText="1"/>
    </xf>
    <xf numFmtId="0" fontId="49" fillId="3" borderId="0" xfId="2" quotePrefix="1" applyFont="1" applyFill="1" applyAlignment="1">
      <alignment horizontal="left" vertical="top" wrapText="1"/>
    </xf>
    <xf numFmtId="0" fontId="49" fillId="3" borderId="6" xfId="2" quotePrefix="1" applyFont="1" applyFill="1" applyBorder="1" applyAlignment="1">
      <alignment horizontal="left" vertical="top" wrapText="1"/>
    </xf>
    <xf numFmtId="0" fontId="20" fillId="0" borderId="0" xfId="0" applyFont="1" applyAlignment="1">
      <alignment horizontal="center" vertical="center" wrapText="1"/>
    </xf>
    <xf numFmtId="0" fontId="20" fillId="0" borderId="0" xfId="0" applyFont="1" applyAlignment="1">
      <alignment wrapText="1"/>
    </xf>
    <xf numFmtId="0" fontId="56" fillId="3" borderId="62" xfId="0" applyFont="1" applyFill="1" applyBorder="1" applyAlignment="1">
      <alignment horizontal="center" vertical="center" wrapText="1"/>
    </xf>
    <xf numFmtId="0" fontId="56" fillId="3" borderId="64" xfId="0" applyFont="1" applyFill="1" applyBorder="1" applyAlignment="1">
      <alignment horizontal="left" vertical="center" wrapText="1"/>
    </xf>
    <xf numFmtId="0" fontId="56" fillId="3" borderId="64" xfId="0" applyFont="1" applyFill="1" applyBorder="1" applyAlignment="1">
      <alignment horizontal="center" vertical="center" wrapText="1"/>
    </xf>
    <xf numFmtId="0" fontId="56" fillId="3" borderId="64" xfId="0" applyFont="1" applyFill="1" applyBorder="1" applyAlignment="1">
      <alignment wrapText="1"/>
    </xf>
    <xf numFmtId="0" fontId="56" fillId="3" borderId="64" xfId="0" applyFont="1" applyFill="1" applyBorder="1" applyAlignment="1">
      <alignment horizontal="center" wrapText="1"/>
    </xf>
    <xf numFmtId="0" fontId="56" fillId="3" borderId="65" xfId="0" applyFont="1" applyFill="1" applyBorder="1" applyAlignment="1">
      <alignment wrapText="1"/>
    </xf>
    <xf numFmtId="0" fontId="20" fillId="3" borderId="0" xfId="0" applyFont="1" applyFill="1" applyAlignment="1">
      <alignment wrapText="1"/>
    </xf>
    <xf numFmtId="0" fontId="55" fillId="0" borderId="19" xfId="0" applyFont="1" applyBorder="1" applyAlignment="1">
      <alignment horizontal="center" vertical="center" textRotation="90" wrapText="1"/>
    </xf>
    <xf numFmtId="0" fontId="22" fillId="0" borderId="0" xfId="0" applyFont="1" applyAlignment="1">
      <alignment horizontal="center" vertical="center" wrapText="1"/>
    </xf>
    <xf numFmtId="0" fontId="56" fillId="0" borderId="19" xfId="0" applyFont="1" applyBorder="1" applyAlignment="1">
      <alignment horizontal="center" vertical="center" wrapText="1"/>
    </xf>
    <xf numFmtId="0" fontId="56" fillId="0" borderId="19" xfId="0"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55" fillId="0" borderId="19" xfId="0" applyFont="1" applyBorder="1" applyAlignment="1" applyProtection="1">
      <alignment horizontal="center" vertical="center" textRotation="90" wrapText="1"/>
      <protection hidden="1"/>
    </xf>
    <xf numFmtId="9" fontId="56" fillId="0" borderId="19" xfId="0" applyNumberFormat="1" applyFont="1" applyBorder="1" applyAlignment="1" applyProtection="1">
      <alignment horizontal="center" vertical="center" wrapText="1"/>
      <protection hidden="1"/>
    </xf>
    <xf numFmtId="9" fontId="56" fillId="0" borderId="19" xfId="0" applyNumberFormat="1" applyFont="1" applyBorder="1" applyAlignment="1" applyProtection="1">
      <alignment horizontal="center" vertical="center" wrapText="1"/>
      <protection locked="0"/>
    </xf>
    <xf numFmtId="0" fontId="56" fillId="0" borderId="19" xfId="0" applyFont="1" applyBorder="1" applyAlignment="1" applyProtection="1">
      <alignment horizontal="center" vertical="center" wrapText="1"/>
      <protection hidden="1"/>
    </xf>
    <xf numFmtId="0" fontId="56" fillId="0" borderId="19" xfId="0" applyFont="1" applyBorder="1" applyAlignment="1" applyProtection="1">
      <alignment horizontal="center" vertical="center" textRotation="90" wrapText="1"/>
      <protection locked="0"/>
    </xf>
    <xf numFmtId="164" fontId="56" fillId="0" borderId="19" xfId="1" applyNumberFormat="1" applyFont="1" applyBorder="1" applyAlignment="1">
      <alignment horizontal="center" vertical="center" wrapText="1"/>
    </xf>
    <xf numFmtId="0" fontId="57" fillId="3" borderId="19" xfId="0" applyFont="1" applyFill="1" applyBorder="1" applyAlignment="1" applyProtection="1">
      <alignment horizontal="center" vertical="center" wrapText="1"/>
      <protection locked="0"/>
    </xf>
    <xf numFmtId="14" fontId="20" fillId="0" borderId="19" xfId="0" applyNumberFormat="1" applyFont="1" applyBorder="1" applyAlignment="1" applyProtection="1">
      <alignment horizontal="center" vertical="center"/>
      <protection locked="0"/>
    </xf>
    <xf numFmtId="0" fontId="20" fillId="0" borderId="0" xfId="0" applyFont="1" applyAlignment="1">
      <alignment vertical="center" wrapText="1"/>
    </xf>
    <xf numFmtId="0" fontId="56" fillId="0" borderId="19" xfId="0" applyFont="1" applyBorder="1" applyAlignment="1">
      <alignment vertical="center" wrapText="1"/>
    </xf>
    <xf numFmtId="0" fontId="56" fillId="0" borderId="19" xfId="0" applyFont="1" applyBorder="1" applyAlignment="1" applyProtection="1">
      <alignment vertical="center" wrapText="1"/>
      <protection locked="0"/>
    </xf>
    <xf numFmtId="0" fontId="6" fillId="0" borderId="19" xfId="0" applyFont="1" applyBorder="1" applyAlignment="1" applyProtection="1">
      <alignment horizontal="center" vertical="center" wrapText="1"/>
      <protection locked="0"/>
    </xf>
    <xf numFmtId="0" fontId="56" fillId="0" borderId="19" xfId="0" applyFont="1" applyBorder="1" applyAlignment="1" applyProtection="1">
      <alignment vertical="top" wrapText="1"/>
      <protection locked="0"/>
    </xf>
    <xf numFmtId="0" fontId="55" fillId="0" borderId="19" xfId="0" applyFont="1" applyBorder="1" applyAlignment="1" applyProtection="1">
      <alignment vertical="top" textRotation="90" wrapText="1"/>
      <protection hidden="1"/>
    </xf>
    <xf numFmtId="9" fontId="56" fillId="0" borderId="19" xfId="0" applyNumberFormat="1" applyFont="1" applyBorder="1" applyAlignment="1" applyProtection="1">
      <alignment vertical="top" wrapText="1"/>
      <protection hidden="1"/>
    </xf>
    <xf numFmtId="9" fontId="56" fillId="0" borderId="19" xfId="0" applyNumberFormat="1" applyFont="1" applyBorder="1" applyAlignment="1" applyProtection="1">
      <alignment vertical="top" wrapText="1"/>
      <protection locked="0"/>
    </xf>
    <xf numFmtId="0" fontId="56" fillId="0" borderId="19" xfId="0" applyFont="1" applyBorder="1" applyAlignment="1">
      <alignment horizontal="center" vertical="top" wrapText="1"/>
    </xf>
    <xf numFmtId="0" fontId="56" fillId="0" borderId="19" xfId="0" applyFont="1" applyBorder="1" applyAlignment="1" applyProtection="1">
      <alignment horizontal="justify" vertical="top" wrapText="1"/>
      <protection locked="0"/>
    </xf>
    <xf numFmtId="0" fontId="56" fillId="0" borderId="19" xfId="0" applyFont="1" applyBorder="1" applyAlignment="1" applyProtection="1">
      <alignment horizontal="center" vertical="top" wrapText="1"/>
      <protection hidden="1"/>
    </xf>
    <xf numFmtId="0" fontId="56" fillId="0" borderId="19" xfId="0" applyFont="1" applyBorder="1" applyAlignment="1" applyProtection="1">
      <alignment horizontal="center" vertical="top" textRotation="90" wrapText="1"/>
      <protection locked="0"/>
    </xf>
    <xf numFmtId="9" fontId="56" fillId="0" borderId="19" xfId="0" applyNumberFormat="1" applyFont="1" applyBorder="1" applyAlignment="1" applyProtection="1">
      <alignment horizontal="center" vertical="top" wrapText="1"/>
      <protection hidden="1"/>
    </xf>
    <xf numFmtId="164" fontId="56" fillId="0" borderId="19" xfId="1" applyNumberFormat="1" applyFont="1" applyBorder="1" applyAlignment="1">
      <alignment horizontal="center" vertical="top" wrapText="1"/>
    </xf>
    <xf numFmtId="0" fontId="55" fillId="0" borderId="19" xfId="0" applyFont="1" applyBorder="1" applyAlignment="1" applyProtection="1">
      <alignment horizontal="center" vertical="top" textRotation="90" wrapText="1"/>
      <protection hidden="1"/>
    </xf>
    <xf numFmtId="0" fontId="56" fillId="0" borderId="19" xfId="0" applyFont="1" applyBorder="1" applyAlignment="1" applyProtection="1">
      <alignment horizontal="center" vertical="top" wrapText="1"/>
      <protection locked="0"/>
    </xf>
    <xf numFmtId="14" fontId="56" fillId="0" borderId="19" xfId="0" applyNumberFormat="1" applyFont="1" applyBorder="1" applyAlignment="1" applyProtection="1">
      <alignment horizontal="center" vertical="top" wrapText="1"/>
      <protection locked="0"/>
    </xf>
    <xf numFmtId="0" fontId="56" fillId="0" borderId="19" xfId="0" applyFont="1" applyBorder="1" applyAlignment="1">
      <alignment vertical="top" wrapText="1"/>
    </xf>
    <xf numFmtId="0" fontId="55" fillId="0" borderId="19" xfId="0" applyFont="1" applyBorder="1" applyAlignment="1" applyProtection="1">
      <alignment vertical="center" textRotation="90" wrapText="1"/>
      <protection hidden="1"/>
    </xf>
    <xf numFmtId="9" fontId="56" fillId="0" borderId="19" xfId="0" applyNumberFormat="1" applyFont="1" applyBorder="1" applyAlignment="1" applyProtection="1">
      <alignment vertical="center" wrapText="1"/>
      <protection hidden="1"/>
    </xf>
    <xf numFmtId="9" fontId="56" fillId="0" borderId="19" xfId="0" applyNumberFormat="1"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56" fillId="0" borderId="19" xfId="0" applyFont="1" applyBorder="1" applyAlignment="1" applyProtection="1">
      <alignment horizontal="justify" vertical="center" wrapText="1"/>
      <protection locked="0"/>
    </xf>
    <xf numFmtId="0" fontId="6" fillId="3" borderId="19" xfId="0" applyFont="1" applyFill="1" applyBorder="1" applyAlignment="1">
      <alignment horizontal="center" wrapText="1"/>
    </xf>
    <xf numFmtId="0" fontId="6" fillId="0" borderId="19" xfId="0" applyFont="1" applyBorder="1" applyAlignment="1">
      <alignment horizontal="center" wrapText="1"/>
    </xf>
    <xf numFmtId="9" fontId="56" fillId="0" borderId="19" xfId="0" applyNumberFormat="1" applyFont="1" applyBorder="1" applyAlignment="1" applyProtection="1">
      <alignment horizontal="center" vertical="top" wrapText="1"/>
      <protection locked="0"/>
    </xf>
    <xf numFmtId="164" fontId="56" fillId="9" borderId="19" xfId="1" applyNumberFormat="1" applyFont="1" applyFill="1" applyBorder="1" applyAlignment="1">
      <alignment horizontal="center" vertical="top" wrapText="1"/>
    </xf>
    <xf numFmtId="0" fontId="6" fillId="0" borderId="19" xfId="0" applyFont="1" applyBorder="1" applyAlignment="1" applyProtection="1">
      <alignment horizontal="center" vertical="top" wrapText="1"/>
      <protection locked="0"/>
    </xf>
    <xf numFmtId="0" fontId="6" fillId="0" borderId="19" xfId="0" applyFont="1" applyBorder="1" applyAlignment="1">
      <alignment wrapText="1"/>
    </xf>
    <xf numFmtId="0" fontId="57" fillId="0" borderId="19" xfId="0" applyFont="1" applyBorder="1" applyAlignment="1" applyProtection="1">
      <alignment horizontal="center" vertical="center" wrapText="1"/>
      <protection locked="0"/>
    </xf>
    <xf numFmtId="0" fontId="58" fillId="3" borderId="19" xfId="0" applyFont="1" applyFill="1" applyBorder="1" applyAlignment="1" applyProtection="1">
      <alignment horizontal="center" vertical="center" wrapText="1"/>
      <protection locked="0"/>
    </xf>
    <xf numFmtId="0" fontId="20" fillId="0" borderId="19" xfId="0" applyFont="1" applyBorder="1" applyAlignment="1">
      <alignment horizontal="center" vertical="center" wrapText="1"/>
    </xf>
    <xf numFmtId="0" fontId="6" fillId="0" borderId="19" xfId="0" applyFont="1" applyBorder="1" applyAlignment="1" applyProtection="1">
      <alignment vertical="top" wrapText="1"/>
      <protection locked="0"/>
    </xf>
    <xf numFmtId="0" fontId="55" fillId="0" borderId="19" xfId="0" applyFont="1" applyBorder="1" applyAlignment="1" applyProtection="1">
      <alignment vertical="top" wrapText="1"/>
      <protection hidden="1"/>
    </xf>
    <xf numFmtId="0" fontId="22" fillId="0" borderId="19" xfId="0" applyFont="1" applyBorder="1" applyAlignment="1" applyProtection="1">
      <alignment horizontal="center" vertical="center" wrapText="1"/>
      <protection hidden="1"/>
    </xf>
    <xf numFmtId="9" fontId="20" fillId="0" borderId="19" xfId="0" applyNumberFormat="1" applyFont="1" applyBorder="1" applyAlignment="1" applyProtection="1">
      <alignment horizontal="center" vertical="center" wrapText="1"/>
      <protection hidden="1"/>
    </xf>
    <xf numFmtId="9" fontId="20" fillId="0" borderId="19" xfId="0" applyNumberFormat="1"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hidden="1"/>
    </xf>
    <xf numFmtId="0" fontId="20" fillId="0" borderId="19" xfId="0" applyFont="1" applyBorder="1" applyAlignment="1" applyProtection="1">
      <alignment horizontal="center" vertical="center" textRotation="90" wrapText="1"/>
      <protection locked="0"/>
    </xf>
    <xf numFmtId="164" fontId="20" fillId="0" borderId="19" xfId="1" applyNumberFormat="1" applyFont="1" applyBorder="1" applyAlignment="1">
      <alignment horizontal="center" vertical="center" wrapText="1"/>
    </xf>
    <xf numFmtId="0" fontId="22" fillId="0" borderId="19" xfId="0" applyFont="1" applyBorder="1" applyAlignment="1" applyProtection="1">
      <alignment horizontal="center" vertical="center" textRotation="90" wrapText="1"/>
      <protection hidden="1"/>
    </xf>
    <xf numFmtId="14" fontId="20" fillId="0" borderId="19" xfId="0" applyNumberFormat="1" applyFont="1" applyBorder="1" applyAlignment="1" applyProtection="1">
      <alignment horizontal="center" vertical="center" wrapText="1"/>
      <protection locked="0"/>
    </xf>
    <xf numFmtId="0" fontId="20" fillId="0" borderId="19" xfId="0" applyFont="1" applyBorder="1" applyAlignment="1">
      <alignment vertical="top" wrapText="1"/>
    </xf>
    <xf numFmtId="0" fontId="20" fillId="0" borderId="19" xfId="0" applyFont="1" applyBorder="1" applyAlignment="1" applyProtection="1">
      <alignment vertical="top" wrapText="1"/>
      <protection locked="0"/>
    </xf>
    <xf numFmtId="0" fontId="57" fillId="0" borderId="19" xfId="0" applyFont="1" applyBorder="1" applyAlignment="1" applyProtection="1">
      <alignment vertical="top" wrapText="1"/>
      <protection locked="0"/>
    </xf>
    <xf numFmtId="0" fontId="22" fillId="0" borderId="19" xfId="0" applyFont="1" applyBorder="1" applyAlignment="1" applyProtection="1">
      <alignment vertical="top" wrapText="1"/>
      <protection hidden="1"/>
    </xf>
    <xf numFmtId="9" fontId="20" fillId="0" borderId="19" xfId="0" applyNumberFormat="1" applyFont="1" applyBorder="1" applyAlignment="1" applyProtection="1">
      <alignment vertical="top" wrapText="1"/>
      <protection hidden="1"/>
    </xf>
    <xf numFmtId="9" fontId="20" fillId="0" borderId="19" xfId="0" applyNumberFormat="1" applyFont="1" applyBorder="1" applyAlignment="1" applyProtection="1">
      <alignment vertical="top" wrapText="1"/>
      <protection locked="0"/>
    </xf>
    <xf numFmtId="0" fontId="20" fillId="0" borderId="19" xfId="0" applyFont="1" applyBorder="1" applyAlignment="1">
      <alignment horizontal="center" vertical="top" wrapText="1"/>
    </xf>
    <xf numFmtId="0" fontId="20" fillId="0" borderId="19" xfId="0" applyFont="1" applyBorder="1" applyAlignment="1" applyProtection="1">
      <alignment horizontal="justify" vertical="top" wrapText="1"/>
      <protection locked="0"/>
    </xf>
    <xf numFmtId="0" fontId="20" fillId="0" borderId="19" xfId="0" applyFont="1" applyBorder="1" applyAlignment="1" applyProtection="1">
      <alignment horizontal="center" vertical="top" wrapText="1"/>
      <protection hidden="1"/>
    </xf>
    <xf numFmtId="0" fontId="20" fillId="0" borderId="19" xfId="0" applyFont="1" applyBorder="1" applyAlignment="1" applyProtection="1">
      <alignment horizontal="center" vertical="top" textRotation="90" wrapText="1"/>
      <protection locked="0"/>
    </xf>
    <xf numFmtId="9" fontId="20" fillId="0" borderId="19" xfId="0" applyNumberFormat="1" applyFont="1" applyBorder="1" applyAlignment="1" applyProtection="1">
      <alignment horizontal="center" vertical="top" wrapText="1"/>
      <protection hidden="1"/>
    </xf>
    <xf numFmtId="164" fontId="20" fillId="0" borderId="19" xfId="1" applyNumberFormat="1" applyFont="1" applyBorder="1" applyAlignment="1">
      <alignment horizontal="center" vertical="top" wrapText="1"/>
    </xf>
    <xf numFmtId="0" fontId="22" fillId="0" borderId="19" xfId="0" applyFont="1" applyBorder="1" applyAlignment="1" applyProtection="1">
      <alignment horizontal="center" vertical="top" textRotation="90" wrapText="1"/>
      <protection hidden="1"/>
    </xf>
    <xf numFmtId="0" fontId="20" fillId="0" borderId="19" xfId="0" applyFont="1" applyBorder="1" applyAlignment="1" applyProtection="1">
      <alignment horizontal="center" vertical="top" wrapText="1"/>
      <protection locked="0"/>
    </xf>
    <xf numFmtId="14" fontId="20" fillId="0" borderId="19" xfId="0" applyNumberFormat="1" applyFont="1" applyBorder="1" applyAlignment="1" applyProtection="1">
      <alignment horizontal="center" vertical="top" wrapText="1"/>
      <protection locked="0"/>
    </xf>
    <xf numFmtId="0" fontId="20" fillId="0" borderId="61" xfId="0" applyFont="1" applyBorder="1" applyAlignment="1">
      <alignment horizontal="center" vertical="top" wrapText="1"/>
    </xf>
    <xf numFmtId="0" fontId="20" fillId="0" borderId="61" xfId="0" applyFont="1" applyBorder="1" applyAlignment="1" applyProtection="1">
      <alignment horizontal="justify" vertical="top" wrapText="1"/>
      <protection locked="0"/>
    </xf>
    <xf numFmtId="0" fontId="20" fillId="0" borderId="61" xfId="0" applyFont="1" applyBorder="1" applyAlignment="1" applyProtection="1">
      <alignment horizontal="center" vertical="top" wrapText="1"/>
      <protection hidden="1"/>
    </xf>
    <xf numFmtId="0" fontId="20" fillId="0" borderId="61" xfId="0" applyFont="1" applyBorder="1" applyAlignment="1" applyProtection="1">
      <alignment horizontal="center" vertical="top" textRotation="90" wrapText="1"/>
      <protection locked="0"/>
    </xf>
    <xf numFmtId="9" fontId="20" fillId="0" borderId="61" xfId="0" applyNumberFormat="1" applyFont="1" applyBorder="1" applyAlignment="1" applyProtection="1">
      <alignment horizontal="center" vertical="top" wrapText="1"/>
      <protection hidden="1"/>
    </xf>
    <xf numFmtId="164" fontId="20" fillId="0" borderId="61" xfId="1" applyNumberFormat="1" applyFont="1" applyBorder="1" applyAlignment="1">
      <alignment horizontal="center" vertical="top" wrapText="1"/>
    </xf>
    <xf numFmtId="0" fontId="22" fillId="0" borderId="61" xfId="0" applyFont="1" applyBorder="1" applyAlignment="1" applyProtection="1">
      <alignment horizontal="center" vertical="top" textRotation="90" wrapText="1"/>
      <protection hidden="1"/>
    </xf>
    <xf numFmtId="0" fontId="20" fillId="0" borderId="61" xfId="0" applyFont="1" applyBorder="1" applyAlignment="1" applyProtection="1">
      <alignment horizontal="center" vertical="top" wrapText="1"/>
      <protection locked="0"/>
    </xf>
    <xf numFmtId="14" fontId="20" fillId="0" borderId="61" xfId="0" applyNumberFormat="1" applyFont="1" applyBorder="1" applyAlignment="1" applyProtection="1">
      <alignment horizontal="center" vertical="top" wrapText="1"/>
      <protection locked="0"/>
    </xf>
    <xf numFmtId="0" fontId="20" fillId="3" borderId="0" xfId="0" applyFont="1" applyFill="1" applyAlignment="1">
      <alignment horizontal="center" vertical="center" wrapText="1"/>
    </xf>
    <xf numFmtId="0" fontId="22" fillId="3" borderId="0" xfId="0" applyFont="1" applyFill="1" applyAlignment="1">
      <alignment horizontal="left" vertical="center"/>
    </xf>
    <xf numFmtId="0" fontId="22" fillId="3" borderId="0" xfId="0" applyFont="1" applyFill="1" applyAlignment="1">
      <alignment horizontal="left" vertical="center" wrapText="1"/>
    </xf>
    <xf numFmtId="0" fontId="20" fillId="3" borderId="0" xfId="0" applyFont="1" applyFill="1" applyAlignment="1">
      <alignment horizontal="center" wrapText="1"/>
    </xf>
    <xf numFmtId="0" fontId="20" fillId="3" borderId="0" xfId="0" applyFont="1" applyFill="1" applyAlignment="1">
      <alignment vertical="center"/>
    </xf>
    <xf numFmtId="0" fontId="20" fillId="3" borderId="0" xfId="0" applyFont="1" applyFill="1" applyAlignment="1">
      <alignment horizontal="left" vertical="center"/>
    </xf>
    <xf numFmtId="0" fontId="20" fillId="3" borderId="0" xfId="0" applyFont="1" applyFill="1" applyAlignment="1">
      <alignment horizontal="left" vertical="center" wrapText="1"/>
    </xf>
    <xf numFmtId="0" fontId="20" fillId="0" borderId="0" xfId="0" applyFont="1" applyAlignment="1">
      <alignment horizontal="center" wrapText="1"/>
    </xf>
    <xf numFmtId="0" fontId="56" fillId="13" borderId="19" xfId="0" applyFont="1" applyFill="1" applyBorder="1" applyAlignment="1" applyProtection="1">
      <alignment horizontal="center" vertical="center" wrapText="1"/>
      <protection locked="0"/>
    </xf>
    <xf numFmtId="0" fontId="56" fillId="3" borderId="38" xfId="0" applyFont="1" applyFill="1" applyBorder="1" applyAlignment="1">
      <alignment wrapText="1"/>
    </xf>
    <xf numFmtId="0" fontId="56" fillId="3" borderId="67" xfId="0" applyFont="1" applyFill="1" applyBorder="1" applyAlignment="1">
      <alignment wrapText="1"/>
    </xf>
    <xf numFmtId="0" fontId="56" fillId="3" borderId="68" xfId="0" applyFont="1" applyFill="1" applyBorder="1" applyAlignment="1">
      <alignment wrapText="1"/>
    </xf>
    <xf numFmtId="0" fontId="56" fillId="3" borderId="0" xfId="0" applyFont="1" applyFill="1" applyAlignment="1">
      <alignment wrapText="1"/>
    </xf>
    <xf numFmtId="0" fontId="56" fillId="3" borderId="69" xfId="0" applyFont="1" applyFill="1" applyBorder="1" applyAlignment="1">
      <alignment wrapText="1"/>
    </xf>
    <xf numFmtId="0" fontId="56" fillId="3" borderId="66" xfId="0" applyFont="1" applyFill="1" applyBorder="1" applyAlignment="1">
      <alignment wrapText="1"/>
    </xf>
    <xf numFmtId="0" fontId="56" fillId="3" borderId="55" xfId="0" applyFont="1" applyFill="1" applyBorder="1" applyAlignment="1">
      <alignment wrapText="1"/>
    </xf>
    <xf numFmtId="0" fontId="56" fillId="3" borderId="63" xfId="0" applyFont="1" applyFill="1" applyBorder="1" applyAlignment="1">
      <alignment wrapText="1"/>
    </xf>
    <xf numFmtId="0" fontId="47" fillId="14" borderId="34" xfId="2" applyFont="1" applyFill="1" applyBorder="1" applyAlignment="1">
      <alignment horizontal="center" vertical="center" wrapText="1"/>
    </xf>
    <xf numFmtId="0" fontId="47" fillId="14" borderId="35" xfId="2" applyFont="1" applyFill="1" applyBorder="1" applyAlignment="1">
      <alignment horizontal="center" vertical="center" wrapText="1"/>
    </xf>
    <xf numFmtId="0" fontId="47" fillId="14" borderId="36" xfId="2" applyFont="1" applyFill="1" applyBorder="1" applyAlignment="1">
      <alignment horizontal="center" vertical="center" wrapText="1"/>
    </xf>
    <xf numFmtId="0" fontId="46" fillId="0" borderId="5"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6" xfId="2" quotePrefix="1" applyFont="1" applyBorder="1" applyAlignment="1">
      <alignment horizontal="left" vertical="center" wrapText="1"/>
    </xf>
    <xf numFmtId="0" fontId="46" fillId="0" borderId="54" xfId="2" quotePrefix="1" applyFont="1" applyBorder="1" applyAlignment="1">
      <alignment horizontal="left" vertical="center" wrapText="1"/>
    </xf>
    <xf numFmtId="0" fontId="46" fillId="0" borderId="55" xfId="2" quotePrefix="1" applyFont="1" applyBorder="1" applyAlignment="1">
      <alignment horizontal="left" vertical="center" wrapText="1"/>
    </xf>
    <xf numFmtId="0" fontId="46" fillId="0" borderId="56" xfId="2" quotePrefix="1" applyFont="1" applyBorder="1" applyAlignment="1">
      <alignment horizontal="left" vertical="center" wrapText="1"/>
    </xf>
    <xf numFmtId="0" fontId="48" fillId="3" borderId="37" xfId="2" quotePrefix="1" applyFont="1" applyFill="1" applyBorder="1" applyAlignment="1">
      <alignment horizontal="left" vertical="top" wrapText="1"/>
    </xf>
    <xf numFmtId="0" fontId="49" fillId="3" borderId="38" xfId="2" quotePrefix="1" applyFont="1" applyFill="1" applyBorder="1" applyAlignment="1">
      <alignment horizontal="left" vertical="top" wrapText="1"/>
    </xf>
    <xf numFmtId="0" fontId="49" fillId="3" borderId="39" xfId="2" quotePrefix="1" applyFont="1" applyFill="1" applyBorder="1" applyAlignment="1">
      <alignment horizontal="left" vertical="top" wrapText="1"/>
    </xf>
    <xf numFmtId="0" fontId="46" fillId="0" borderId="5"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6" xfId="2" quotePrefix="1" applyFont="1" applyBorder="1" applyAlignment="1">
      <alignment horizontal="left" vertical="top" wrapText="1"/>
    </xf>
    <xf numFmtId="0" fontId="51" fillId="14" borderId="40" xfId="3" applyFont="1" applyFill="1" applyBorder="1" applyAlignment="1">
      <alignment horizontal="center" vertical="center" wrapText="1"/>
    </xf>
    <xf numFmtId="0" fontId="51" fillId="14" borderId="41" xfId="3" applyFont="1" applyFill="1" applyBorder="1" applyAlignment="1">
      <alignment horizontal="center" vertical="center" wrapText="1"/>
    </xf>
    <xf numFmtId="0" fontId="51" fillId="14" borderId="42" xfId="2" applyFont="1" applyFill="1" applyBorder="1" applyAlignment="1">
      <alignment horizontal="center" vertical="center"/>
    </xf>
    <xf numFmtId="0" fontId="51" fillId="14" borderId="43" xfId="2" applyFont="1" applyFill="1" applyBorder="1" applyAlignment="1">
      <alignment horizontal="center" vertical="center"/>
    </xf>
    <xf numFmtId="0" fontId="1" fillId="3" borderId="54" xfId="2" quotePrefix="1" applyFont="1" applyFill="1" applyBorder="1" applyAlignment="1">
      <alignment horizontal="justify" vertical="center" wrapText="1"/>
    </xf>
    <xf numFmtId="0" fontId="1" fillId="3" borderId="55" xfId="2" quotePrefix="1" applyFont="1" applyFill="1" applyBorder="1" applyAlignment="1">
      <alignment horizontal="justify" vertical="center" wrapText="1"/>
    </xf>
    <xf numFmtId="0" fontId="1" fillId="3" borderId="56" xfId="2" quotePrefix="1" applyFont="1" applyFill="1" applyBorder="1" applyAlignment="1">
      <alignment horizontal="justify" vertical="center" wrapText="1"/>
    </xf>
    <xf numFmtId="0" fontId="51" fillId="3" borderId="44" xfId="3" applyFont="1" applyFill="1" applyBorder="1" applyAlignment="1">
      <alignment horizontal="left" vertical="top" wrapText="1" readingOrder="1"/>
    </xf>
    <xf numFmtId="0" fontId="51" fillId="3" borderId="45" xfId="3" applyFont="1" applyFill="1" applyBorder="1" applyAlignment="1">
      <alignment horizontal="left" vertical="top" wrapText="1" readingOrder="1"/>
    </xf>
    <xf numFmtId="0" fontId="52" fillId="3" borderId="46" xfId="2" applyFont="1" applyFill="1" applyBorder="1" applyAlignment="1">
      <alignment horizontal="justify" vertical="center" wrapText="1"/>
    </xf>
    <xf numFmtId="0" fontId="52" fillId="3" borderId="47" xfId="2" applyFont="1" applyFill="1" applyBorder="1" applyAlignment="1">
      <alignment horizontal="justify" vertical="center" wrapText="1"/>
    </xf>
    <xf numFmtId="0" fontId="51" fillId="3" borderId="48" xfId="0" applyFont="1" applyFill="1" applyBorder="1" applyAlignment="1">
      <alignment horizontal="left" vertical="center" wrapText="1"/>
    </xf>
    <xf numFmtId="0" fontId="51" fillId="3" borderId="49" xfId="0" applyFont="1" applyFill="1" applyBorder="1" applyAlignment="1">
      <alignment horizontal="left" vertical="center" wrapText="1"/>
    </xf>
    <xf numFmtId="0" fontId="52" fillId="3" borderId="50" xfId="2" applyFont="1" applyFill="1" applyBorder="1" applyAlignment="1">
      <alignment horizontal="justify" vertical="center" wrapText="1"/>
    </xf>
    <xf numFmtId="0" fontId="52" fillId="3" borderId="51" xfId="2" applyFont="1" applyFill="1" applyBorder="1" applyAlignment="1">
      <alignment horizontal="justify" vertical="center" wrapText="1"/>
    </xf>
    <xf numFmtId="0" fontId="46" fillId="3" borderId="5" xfId="2" applyFont="1" applyFill="1" applyBorder="1" applyAlignment="1">
      <alignment horizontal="left" vertical="top" wrapText="1"/>
    </xf>
    <xf numFmtId="0" fontId="46" fillId="3" borderId="0" xfId="2" applyFont="1" applyFill="1" applyAlignment="1">
      <alignment horizontal="left" vertical="top" wrapText="1"/>
    </xf>
    <xf numFmtId="0" fontId="46" fillId="3" borderId="6" xfId="2" applyFont="1" applyFill="1" applyBorder="1" applyAlignment="1">
      <alignment horizontal="left" vertical="top" wrapText="1"/>
    </xf>
    <xf numFmtId="0" fontId="51" fillId="3" borderId="57" xfId="0" applyFont="1" applyFill="1" applyBorder="1" applyAlignment="1">
      <alignment horizontal="left" vertical="center" wrapText="1"/>
    </xf>
    <xf numFmtId="0" fontId="51" fillId="3" borderId="58" xfId="0" applyFont="1" applyFill="1" applyBorder="1" applyAlignment="1">
      <alignment horizontal="left" vertical="center" wrapText="1"/>
    </xf>
    <xf numFmtId="0" fontId="51" fillId="3" borderId="59" xfId="0" applyFont="1" applyFill="1" applyBorder="1" applyAlignment="1">
      <alignment horizontal="left" vertical="center" wrapText="1"/>
    </xf>
    <xf numFmtId="0" fontId="51" fillId="3" borderId="60" xfId="0" applyFont="1" applyFill="1" applyBorder="1" applyAlignment="1">
      <alignment horizontal="left" vertical="center" wrapText="1"/>
    </xf>
    <xf numFmtId="0" fontId="52" fillId="3" borderId="52" xfId="0" applyFont="1" applyFill="1" applyBorder="1" applyAlignment="1">
      <alignment horizontal="justify" vertical="center" wrapText="1"/>
    </xf>
    <xf numFmtId="0" fontId="52" fillId="3" borderId="53" xfId="0" applyFont="1" applyFill="1" applyBorder="1" applyAlignment="1">
      <alignment horizontal="justify" vertical="center" wrapText="1"/>
    </xf>
    <xf numFmtId="0" fontId="56" fillId="16" borderId="62" xfId="0" applyFont="1" applyFill="1" applyBorder="1" applyAlignment="1">
      <alignment horizontal="center" vertical="center" wrapText="1"/>
    </xf>
    <xf numFmtId="0" fontId="56" fillId="16" borderId="64" xfId="0" applyFont="1" applyFill="1" applyBorder="1" applyAlignment="1">
      <alignment horizontal="center" vertical="center" wrapText="1"/>
    </xf>
    <xf numFmtId="0" fontId="56" fillId="16" borderId="65" xfId="0" applyFont="1" applyFill="1" applyBorder="1" applyAlignment="1">
      <alignment horizontal="center" vertical="center" wrapText="1"/>
    </xf>
    <xf numFmtId="0" fontId="56" fillId="16" borderId="66" xfId="0" applyFont="1" applyFill="1" applyBorder="1" applyAlignment="1">
      <alignment horizontal="center" vertical="center" wrapText="1"/>
    </xf>
    <xf numFmtId="0" fontId="56" fillId="16" borderId="55" xfId="0" applyFont="1" applyFill="1" applyBorder="1" applyAlignment="1">
      <alignment horizontal="center" vertical="center" wrapText="1"/>
    </xf>
    <xf numFmtId="0" fontId="56" fillId="16" borderId="63" xfId="0" applyFont="1" applyFill="1" applyBorder="1" applyAlignment="1">
      <alignment horizontal="center" vertical="center" wrapText="1"/>
    </xf>
    <xf numFmtId="0" fontId="55" fillId="2" borderId="20" xfId="0" applyFont="1" applyFill="1" applyBorder="1" applyAlignment="1">
      <alignment horizontal="left" vertical="center" wrapText="1"/>
    </xf>
    <xf numFmtId="0" fontId="55" fillId="2" borderId="66" xfId="0" applyFont="1" applyFill="1" applyBorder="1" applyAlignment="1">
      <alignment horizontal="left" vertical="center" wrapText="1"/>
    </xf>
    <xf numFmtId="0" fontId="55" fillId="2" borderId="19" xfId="0" applyFont="1" applyFill="1" applyBorder="1" applyAlignment="1">
      <alignment horizontal="left" vertical="center" wrapText="1"/>
    </xf>
    <xf numFmtId="0" fontId="55" fillId="2" borderId="62" xfId="0" applyFont="1" applyFill="1" applyBorder="1" applyAlignment="1">
      <alignment horizontal="left" vertical="center" wrapText="1"/>
    </xf>
    <xf numFmtId="0" fontId="55" fillId="2" borderId="19" xfId="0" applyFont="1" applyFill="1" applyBorder="1" applyAlignment="1">
      <alignment horizontal="center" vertical="center" textRotation="90" wrapText="1"/>
    </xf>
    <xf numFmtId="0" fontId="55" fillId="2" borderId="19" xfId="0" applyFont="1" applyFill="1" applyBorder="1" applyAlignment="1">
      <alignment horizontal="center" vertical="center" wrapText="1"/>
    </xf>
    <xf numFmtId="0" fontId="55" fillId="2" borderId="20" xfId="0" applyFont="1" applyFill="1" applyBorder="1" applyAlignment="1">
      <alignment horizontal="center" vertical="center" textRotation="90" wrapText="1"/>
    </xf>
    <xf numFmtId="0" fontId="55" fillId="2" borderId="20" xfId="0" applyFont="1" applyFill="1" applyBorder="1" applyAlignment="1">
      <alignment horizontal="center" vertical="center" wrapText="1"/>
    </xf>
    <xf numFmtId="14" fontId="56" fillId="0" borderId="19" xfId="0" applyNumberFormat="1" applyFont="1" applyBorder="1" applyAlignment="1">
      <alignment horizontal="center" vertical="center" wrapText="1"/>
    </xf>
    <xf numFmtId="0" fontId="6" fillId="0" borderId="19" xfId="0" applyFont="1" applyBorder="1" applyAlignment="1">
      <alignment horizontal="center" wrapText="1"/>
    </xf>
    <xf numFmtId="0" fontId="56" fillId="0" borderId="19" xfId="0" applyFont="1" applyBorder="1" applyAlignment="1" applyProtection="1">
      <alignment horizontal="center" vertical="center" wrapText="1"/>
      <protection locked="0"/>
    </xf>
    <xf numFmtId="0" fontId="6" fillId="3" borderId="70" xfId="0" applyFont="1" applyFill="1" applyBorder="1" applyAlignment="1">
      <alignment horizontal="center" wrapText="1"/>
    </xf>
    <xf numFmtId="0" fontId="6" fillId="3" borderId="38" xfId="0" applyFont="1" applyFill="1" applyBorder="1" applyAlignment="1">
      <alignment horizontal="center" wrapText="1"/>
    </xf>
    <xf numFmtId="0" fontId="6" fillId="3" borderId="67" xfId="0" applyFont="1" applyFill="1" applyBorder="1" applyAlignment="1">
      <alignment horizontal="center" wrapText="1"/>
    </xf>
    <xf numFmtId="0" fontId="56" fillId="3" borderId="68" xfId="0" applyFont="1" applyFill="1" applyBorder="1" applyAlignment="1">
      <alignment horizontal="center" wrapText="1"/>
    </xf>
    <xf numFmtId="0" fontId="56" fillId="3" borderId="0" xfId="0" applyFont="1" applyFill="1" applyAlignment="1">
      <alignment horizontal="center" wrapText="1"/>
    </xf>
    <xf numFmtId="0" fontId="56" fillId="3" borderId="69" xfId="0" applyFont="1" applyFill="1" applyBorder="1" applyAlignment="1">
      <alignment horizontal="center" wrapText="1"/>
    </xf>
    <xf numFmtId="0" fontId="20" fillId="0" borderId="19" xfId="0" applyFont="1" applyBorder="1" applyAlignment="1" applyProtection="1">
      <alignment horizontal="center" vertical="center" wrapText="1"/>
      <protection locked="0"/>
    </xf>
    <xf numFmtId="9" fontId="56" fillId="0" borderId="19" xfId="0" applyNumberFormat="1" applyFont="1" applyBorder="1" applyAlignment="1" applyProtection="1">
      <alignment horizontal="center" vertical="top" wrapText="1"/>
      <protection hidden="1"/>
    </xf>
    <xf numFmtId="9" fontId="20" fillId="0" borderId="19" xfId="0" applyNumberFormat="1" applyFont="1" applyBorder="1" applyAlignment="1" applyProtection="1">
      <alignment horizontal="center" vertical="top" wrapText="1"/>
      <protection locked="0"/>
    </xf>
    <xf numFmtId="9" fontId="20" fillId="0" borderId="19" xfId="0" applyNumberFormat="1" applyFont="1" applyBorder="1" applyAlignment="1" applyProtection="1">
      <alignment horizontal="center" vertical="top" wrapText="1"/>
      <protection hidden="1"/>
    </xf>
    <xf numFmtId="0" fontId="22" fillId="0" borderId="19" xfId="0" applyFont="1" applyBorder="1" applyAlignment="1" applyProtection="1">
      <alignment horizontal="center" vertical="top" wrapText="1"/>
      <protection hidden="1"/>
    </xf>
    <xf numFmtId="9" fontId="56" fillId="0" borderId="19" xfId="0" applyNumberFormat="1" applyFont="1" applyBorder="1" applyAlignment="1" applyProtection="1">
      <alignment horizontal="center" vertical="center" wrapText="1"/>
      <protection hidden="1"/>
    </xf>
    <xf numFmtId="0" fontId="55" fillId="0" borderId="19" xfId="0" applyFont="1" applyBorder="1" applyAlignment="1" applyProtection="1">
      <alignment horizontal="center" vertical="center" textRotation="90" wrapText="1"/>
      <protection hidden="1"/>
    </xf>
    <xf numFmtId="0" fontId="56" fillId="0" borderId="19" xfId="0" applyFont="1" applyBorder="1" applyAlignment="1">
      <alignment horizontal="center" vertical="center" wrapText="1"/>
    </xf>
    <xf numFmtId="0" fontId="56" fillId="0" borderId="19" xfId="0" applyFont="1" applyBorder="1" applyAlignment="1" applyProtection="1">
      <alignment horizontal="center" vertical="center" textRotation="90" wrapText="1"/>
      <protection locked="0"/>
    </xf>
    <xf numFmtId="0" fontId="20" fillId="0" borderId="19" xfId="0" applyFont="1" applyBorder="1" applyAlignment="1">
      <alignment horizontal="center" vertical="top" wrapText="1"/>
    </xf>
    <xf numFmtId="0" fontId="20" fillId="0" borderId="19" xfId="0" applyFont="1" applyBorder="1" applyAlignment="1" applyProtection="1">
      <alignment horizontal="center" vertical="top" wrapText="1"/>
      <protection locked="0"/>
    </xf>
    <xf numFmtId="0" fontId="57" fillId="0" borderId="19" xfId="0" applyFont="1" applyBorder="1" applyAlignment="1" applyProtection="1">
      <alignment horizontal="center" vertical="top" wrapText="1"/>
      <protection locked="0"/>
    </xf>
    <xf numFmtId="0" fontId="20" fillId="3" borderId="19" xfId="0" applyFont="1" applyFill="1" applyBorder="1" applyAlignment="1" applyProtection="1">
      <alignment horizontal="center" vertical="center" wrapText="1"/>
      <protection locked="0"/>
    </xf>
    <xf numFmtId="0" fontId="55" fillId="2" borderId="61" xfId="0" applyFont="1" applyFill="1" applyBorder="1" applyAlignment="1">
      <alignment horizontal="center" vertical="center" wrapText="1"/>
    </xf>
    <xf numFmtId="0" fontId="55" fillId="2" borderId="66" xfId="0" applyFont="1" applyFill="1" applyBorder="1" applyAlignment="1">
      <alignment horizontal="center" vertical="center" wrapText="1"/>
    </xf>
    <xf numFmtId="0" fontId="55" fillId="2" borderId="0" xfId="0" applyFont="1" applyFill="1" applyAlignment="1">
      <alignment horizontal="center" vertical="center" wrapText="1"/>
    </xf>
    <xf numFmtId="0" fontId="57" fillId="3" borderId="19" xfId="0" applyFont="1" applyFill="1" applyBorder="1" applyAlignment="1" applyProtection="1">
      <alignment horizontal="center" vertical="center" wrapText="1"/>
      <protection locked="0"/>
    </xf>
    <xf numFmtId="0" fontId="60" fillId="3" borderId="68" xfId="0" applyFont="1" applyFill="1" applyBorder="1" applyAlignment="1">
      <alignment horizontal="center" wrapText="1"/>
    </xf>
    <xf numFmtId="0" fontId="60" fillId="3" borderId="66" xfId="0" applyFont="1" applyFill="1" applyBorder="1" applyAlignment="1">
      <alignment horizontal="center" wrapText="1"/>
    </xf>
    <xf numFmtId="0" fontId="60" fillId="3" borderId="55" xfId="0" applyFont="1" applyFill="1" applyBorder="1" applyAlignment="1">
      <alignment horizontal="center" wrapText="1"/>
    </xf>
    <xf numFmtId="0" fontId="60" fillId="3" borderId="63" xfId="0" applyFont="1" applyFill="1" applyBorder="1" applyAlignment="1">
      <alignment horizontal="center" wrapText="1"/>
    </xf>
    <xf numFmtId="0" fontId="20" fillId="3" borderId="0" xfId="0" applyFont="1" applyFill="1" applyAlignment="1">
      <alignment horizontal="left" vertical="center" wrapText="1"/>
    </xf>
    <xf numFmtId="9" fontId="56" fillId="0" borderId="19" xfId="0" applyNumberFormat="1" applyFont="1" applyBorder="1" applyAlignment="1" applyProtection="1">
      <alignment horizontal="center" vertical="center" wrapText="1"/>
      <protection locked="0"/>
    </xf>
    <xf numFmtId="0" fontId="56" fillId="0" borderId="19" xfId="0" applyFont="1" applyBorder="1" applyAlignment="1" applyProtection="1">
      <alignment horizontal="center" vertical="center" wrapText="1"/>
      <protection hidden="1"/>
    </xf>
    <xf numFmtId="0" fontId="23" fillId="0" borderId="0" xfId="0" applyFont="1" applyAlignment="1">
      <alignment horizontal="center" vertical="center" wrapText="1"/>
    </xf>
    <xf numFmtId="0" fontId="18" fillId="5" borderId="5"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3"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4"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3"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4"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3"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4"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3"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4" xfId="0" applyFont="1" applyFill="1" applyBorder="1" applyAlignment="1" applyProtection="1">
      <alignment horizontal="center" vertical="center" wrapText="1" readingOrder="1"/>
      <protection hidden="1"/>
    </xf>
    <xf numFmtId="0" fontId="16" fillId="10" borderId="0" xfId="0" applyFont="1" applyFill="1" applyAlignment="1">
      <alignment horizontal="center" vertical="center" wrapText="1" readingOrder="1"/>
    </xf>
    <xf numFmtId="0" fontId="15" fillId="0" borderId="3" xfId="0" applyFont="1" applyBorder="1" applyAlignment="1">
      <alignment horizontal="center" vertical="center" wrapText="1"/>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wrapText="1"/>
    </xf>
    <xf numFmtId="0" fontId="16" fillId="10" borderId="0" xfId="0" applyFont="1" applyFill="1" applyAlignment="1">
      <alignment horizontal="center" vertical="center" textRotation="90" wrapText="1" readingOrder="1"/>
    </xf>
    <xf numFmtId="0" fontId="16" fillId="10" borderId="6" xfId="0" applyFont="1" applyFill="1" applyBorder="1" applyAlignment="1">
      <alignment horizontal="center" vertical="center" textRotation="90" wrapText="1" readingOrder="1"/>
    </xf>
    <xf numFmtId="0" fontId="19" fillId="12" borderId="11" xfId="0" applyFont="1" applyFill="1" applyBorder="1" applyAlignment="1">
      <alignment horizontal="center" vertical="center" wrapText="1" readingOrder="1"/>
    </xf>
    <xf numFmtId="0" fontId="19" fillId="12" borderId="12"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1" borderId="11" xfId="0" applyFont="1" applyFill="1" applyBorder="1" applyAlignment="1">
      <alignment horizontal="center" vertical="center" wrapText="1" readingOrder="1"/>
    </xf>
    <xf numFmtId="0" fontId="19" fillId="11" borderId="12"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3" borderId="11" xfId="0" applyFont="1" applyFill="1" applyBorder="1" applyAlignment="1">
      <alignment horizontal="center" vertical="center" wrapText="1" readingOrder="1"/>
    </xf>
    <xf numFmtId="0" fontId="19" fillId="13" borderId="12"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5" borderId="11" xfId="0" applyFont="1" applyFill="1" applyBorder="1" applyAlignment="1">
      <alignment horizontal="center" vertical="center" wrapText="1" readingOrder="1"/>
    </xf>
    <xf numFmtId="0" fontId="19" fillId="5" borderId="12"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40" fillId="0" borderId="3" xfId="0" applyFont="1" applyBorder="1" applyAlignment="1">
      <alignment horizontal="center" vertical="center" wrapText="1"/>
    </xf>
    <xf numFmtId="0" fontId="40" fillId="0" borderId="10" xfId="0" applyFont="1" applyBorder="1" applyAlignment="1">
      <alignment horizontal="center"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9"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wrapText="1"/>
    </xf>
    <xf numFmtId="0" fontId="39" fillId="11" borderId="11" xfId="0" applyFont="1" applyFill="1" applyBorder="1" applyAlignment="1">
      <alignment horizontal="center" vertical="center" wrapText="1" readingOrder="1"/>
    </xf>
    <xf numFmtId="0" fontId="39" fillId="11" borderId="12" xfId="0" applyFont="1" applyFill="1" applyBorder="1" applyAlignment="1">
      <alignment horizontal="center" vertical="center" wrapText="1" readingOrder="1"/>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39" fillId="12" borderId="11" xfId="0" applyFont="1" applyFill="1" applyBorder="1" applyAlignment="1">
      <alignment horizontal="center" vertical="center" wrapText="1" readingOrder="1"/>
    </xf>
    <xf numFmtId="0" fontId="39" fillId="12" borderId="12"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39" fillId="5" borderId="11" xfId="0" applyFont="1" applyFill="1" applyBorder="1" applyAlignment="1">
      <alignment horizontal="center" vertical="center" wrapText="1" readingOrder="1"/>
    </xf>
    <xf numFmtId="0" fontId="39" fillId="5" borderId="12" xfId="0" applyFont="1" applyFill="1" applyBorder="1" applyAlignment="1">
      <alignment horizontal="center" vertical="center" wrapText="1" readingOrder="1"/>
    </xf>
    <xf numFmtId="0" fontId="39" fillId="5" borderId="13" xfId="0" applyFont="1" applyFill="1" applyBorder="1" applyAlignment="1">
      <alignment horizontal="center" vertical="center" wrapText="1" readingOrder="1"/>
    </xf>
    <xf numFmtId="0" fontId="39" fillId="5" borderId="14" xfId="0" applyFont="1" applyFill="1" applyBorder="1" applyAlignment="1">
      <alignment horizontal="center" vertical="center" wrapText="1" readingOrder="1"/>
    </xf>
    <xf numFmtId="0" fontId="39" fillId="5" borderId="0" xfId="0" applyFont="1" applyFill="1" applyAlignment="1">
      <alignment horizontal="center" vertical="center" wrapText="1" readingOrder="1"/>
    </xf>
    <xf numFmtId="0" fontId="39" fillId="5" borderId="15" xfId="0" applyFont="1" applyFill="1" applyBorder="1" applyAlignment="1">
      <alignment horizontal="center" vertical="center" wrapText="1" readingOrder="1"/>
    </xf>
    <xf numFmtId="0" fontId="39" fillId="5" borderId="16" xfId="0" applyFont="1" applyFill="1" applyBorder="1" applyAlignment="1">
      <alignment horizontal="center" vertical="center" wrapText="1" readingOrder="1"/>
    </xf>
    <xf numFmtId="0" fontId="39" fillId="5" borderId="17" xfId="0" applyFont="1" applyFill="1" applyBorder="1" applyAlignment="1">
      <alignment horizontal="center" vertical="center" wrapText="1" readingOrder="1"/>
    </xf>
    <xf numFmtId="0" fontId="39" fillId="5" borderId="18" xfId="0" applyFont="1" applyFill="1" applyBorder="1" applyAlignment="1">
      <alignment horizontal="center" vertical="center" wrapText="1" readingOrder="1"/>
    </xf>
    <xf numFmtId="0" fontId="39" fillId="13" borderId="11" xfId="0" applyFont="1" applyFill="1" applyBorder="1" applyAlignment="1">
      <alignment horizontal="center" vertical="center" wrapText="1" readingOrder="1"/>
    </xf>
    <xf numFmtId="0" fontId="39" fillId="13" borderId="12" xfId="0" applyFont="1" applyFill="1" applyBorder="1" applyAlignment="1">
      <alignment horizontal="center" vertical="center" wrapText="1" readingOrder="1"/>
    </xf>
    <xf numFmtId="0" fontId="39" fillId="13" borderId="13" xfId="0" applyFont="1" applyFill="1" applyBorder="1" applyAlignment="1">
      <alignment horizontal="center" vertical="center" wrapText="1" readingOrder="1"/>
    </xf>
    <xf numFmtId="0" fontId="39" fillId="13" borderId="14" xfId="0" applyFont="1" applyFill="1" applyBorder="1" applyAlignment="1">
      <alignment horizontal="center" vertical="center" wrapText="1" readingOrder="1"/>
    </xf>
    <xf numFmtId="0" fontId="39" fillId="13" borderId="0" xfId="0" applyFont="1" applyFill="1" applyAlignment="1">
      <alignment horizontal="center" vertical="center" wrapText="1" readingOrder="1"/>
    </xf>
    <xf numFmtId="0" fontId="39" fillId="13" borderId="15" xfId="0" applyFont="1" applyFill="1" applyBorder="1" applyAlignment="1">
      <alignment horizontal="center" vertical="center" wrapText="1" readingOrder="1"/>
    </xf>
    <xf numFmtId="0" fontId="39" fillId="13" borderId="16" xfId="0" applyFont="1" applyFill="1" applyBorder="1" applyAlignment="1">
      <alignment horizontal="center" vertical="center" wrapText="1" readingOrder="1"/>
    </xf>
    <xf numFmtId="0" fontId="39" fillId="13" borderId="17" xfId="0" applyFont="1" applyFill="1" applyBorder="1" applyAlignment="1">
      <alignment horizontal="center" vertical="center" wrapText="1" readingOrder="1"/>
    </xf>
    <xf numFmtId="0" fontId="39" fillId="13" borderId="18" xfId="0" applyFont="1" applyFill="1" applyBorder="1" applyAlignment="1">
      <alignment horizontal="center" vertical="center" wrapText="1" readingOrder="1"/>
    </xf>
    <xf numFmtId="0" fontId="22" fillId="0" borderId="0" xfId="0" applyFont="1" applyAlignment="1">
      <alignment horizontal="center" vertical="center"/>
    </xf>
    <xf numFmtId="0" fontId="42" fillId="0" borderId="0" xfId="0" applyFont="1" applyAlignment="1">
      <alignment horizontal="center" vertical="center"/>
    </xf>
    <xf numFmtId="0" fontId="37" fillId="15" borderId="21" xfId="0" applyFont="1" applyFill="1" applyBorder="1" applyAlignment="1">
      <alignment horizontal="center" vertical="center" wrapText="1" readingOrder="1"/>
    </xf>
    <xf numFmtId="0" fontId="37" fillId="15" borderId="22" xfId="0" applyFont="1" applyFill="1" applyBorder="1" applyAlignment="1">
      <alignment horizontal="center" vertical="center" wrapText="1" readingOrder="1"/>
    </xf>
    <xf numFmtId="0" fontId="37" fillId="15" borderId="33" xfId="0" applyFont="1" applyFill="1" applyBorder="1" applyAlignment="1">
      <alignment horizontal="center" vertical="center" wrapText="1" readingOrder="1"/>
    </xf>
    <xf numFmtId="0" fontId="32" fillId="3" borderId="0" xfId="0" applyFont="1" applyFill="1" applyAlignment="1">
      <alignment horizontal="justify" vertical="center" wrapText="1"/>
    </xf>
    <xf numFmtId="0" fontId="34" fillId="15" borderId="30" xfId="0" applyFont="1" applyFill="1" applyBorder="1" applyAlignment="1">
      <alignment horizontal="center" vertical="center" wrapText="1" readingOrder="1"/>
    </xf>
    <xf numFmtId="0" fontId="34" fillId="15" borderId="31" xfId="0" applyFont="1" applyFill="1" applyBorder="1" applyAlignment="1">
      <alignment horizontal="center" vertical="center" wrapText="1" readingOrder="1"/>
    </xf>
    <xf numFmtId="0" fontId="34" fillId="3" borderId="28" xfId="0" applyFont="1" applyFill="1" applyBorder="1" applyAlignment="1">
      <alignment horizontal="center" vertical="center" wrapText="1" readingOrder="1"/>
    </xf>
    <xf numFmtId="0" fontId="34" fillId="3" borderId="23" xfId="0" applyFont="1" applyFill="1" applyBorder="1" applyAlignment="1">
      <alignment horizontal="center" vertical="center" wrapText="1" readingOrder="1"/>
    </xf>
    <xf numFmtId="0" fontId="34" fillId="3" borderId="20" xfId="0" applyFont="1" applyFill="1" applyBorder="1" applyAlignment="1">
      <alignment horizontal="center" vertical="center" wrapText="1" readingOrder="1"/>
    </xf>
    <xf numFmtId="0" fontId="34" fillId="3" borderId="19" xfId="0" applyFont="1" applyFill="1" applyBorder="1" applyAlignment="1">
      <alignment horizontal="center" vertical="center" wrapText="1" readingOrder="1"/>
    </xf>
    <xf numFmtId="0" fontId="34" fillId="3" borderId="25" xfId="0"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23">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ont>
        <color auto="1"/>
      </font>
      <fill>
        <patternFill>
          <bgColor rgb="FF92D050"/>
        </patternFill>
      </fill>
    </dxf>
    <dxf>
      <fill>
        <patternFill>
          <bgColor rgb="FFFFFF66"/>
        </patternFill>
      </fill>
    </dxf>
    <dxf>
      <fill>
        <patternFill>
          <bgColor rgb="FFFFC000"/>
        </patternFill>
      </fill>
    </dxf>
    <dxf>
      <fill>
        <patternFill>
          <bgColor rgb="FF00B050"/>
        </patternFill>
      </fill>
    </dxf>
    <dxf>
      <fill>
        <patternFill>
          <bgColor rgb="FFFF000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FF66"/>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rgb="FF00B050"/>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33</xdr:col>
      <xdr:colOff>411306</xdr:colOff>
      <xdr:row>2</xdr:row>
      <xdr:rowOff>129886</xdr:rowOff>
    </xdr:from>
    <xdr:to>
      <xdr:col>34</xdr:col>
      <xdr:colOff>1536988</xdr:colOff>
      <xdr:row>5</xdr:row>
      <xdr:rowOff>545046</xdr:rowOff>
    </xdr:to>
    <xdr:pic>
      <xdr:nvPicPr>
        <xdr:cNvPr id="4" name="Imagen 3">
          <a:extLst>
            <a:ext uri="{FF2B5EF4-FFF2-40B4-BE49-F238E27FC236}">
              <a16:creationId xmlns:a16="http://schemas.microsoft.com/office/drawing/2014/main" id="{165420AF-A5CD-0D9C-2E24-C044DFC891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91249" y="649431"/>
          <a:ext cx="2814205" cy="1605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HANNIER\Desktop\MAPA%20DE%20RIESGOS%20PROCESO%20GESTI&#211;N%20TALENTO%20HUMANO%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JHANNIER\Desktop\MAPA%20DE%20RIESGOS%20PROCESO%20GESTI&#211;N%20FINANCIERA%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JHANNIER\Desktop\IDM\MAPAS%20RIESGOS%20PARA%20PUBLICAR\3.%20MAPA%20RIESGOS%20FINAL%20Y%20ACTUALIZADO%20GESTI&#211;N%20FINANCIE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A4" zoomScale="110" zoomScaleNormal="110" workbookViewId="0">
      <selection activeCell="B7" sqref="B7:H7"/>
    </sheetView>
  </sheetViews>
  <sheetFormatPr baseColWidth="10" defaultColWidth="11.42578125"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15" t="s">
        <v>165</v>
      </c>
      <c r="C2" s="216"/>
      <c r="D2" s="216"/>
      <c r="E2" s="216"/>
      <c r="F2" s="216"/>
      <c r="G2" s="216"/>
      <c r="H2" s="217"/>
    </row>
    <row r="3" spans="2:8" x14ac:dyDescent="0.25">
      <c r="B3" s="70"/>
      <c r="C3" s="71"/>
      <c r="D3" s="71"/>
      <c r="E3" s="71"/>
      <c r="F3" s="71"/>
      <c r="G3" s="71"/>
      <c r="H3" s="72"/>
    </row>
    <row r="4" spans="2:8" ht="63" customHeight="1" x14ac:dyDescent="0.25">
      <c r="B4" s="218" t="s">
        <v>226</v>
      </c>
      <c r="C4" s="219"/>
      <c r="D4" s="219"/>
      <c r="E4" s="219"/>
      <c r="F4" s="219"/>
      <c r="G4" s="219"/>
      <c r="H4" s="220"/>
    </row>
    <row r="5" spans="2:8" ht="63" customHeight="1" x14ac:dyDescent="0.25">
      <c r="B5" s="221"/>
      <c r="C5" s="222"/>
      <c r="D5" s="222"/>
      <c r="E5" s="222"/>
      <c r="F5" s="222"/>
      <c r="G5" s="222"/>
      <c r="H5" s="223"/>
    </row>
    <row r="6" spans="2:8" ht="16.5" x14ac:dyDescent="0.25">
      <c r="B6" s="224" t="s">
        <v>163</v>
      </c>
      <c r="C6" s="225"/>
      <c r="D6" s="225"/>
      <c r="E6" s="225"/>
      <c r="F6" s="225"/>
      <c r="G6" s="225"/>
      <c r="H6" s="226"/>
    </row>
    <row r="7" spans="2:8" ht="95.25" customHeight="1" x14ac:dyDescent="0.25">
      <c r="B7" s="234" t="s">
        <v>168</v>
      </c>
      <c r="C7" s="235"/>
      <c r="D7" s="235"/>
      <c r="E7" s="235"/>
      <c r="F7" s="235"/>
      <c r="G7" s="235"/>
      <c r="H7" s="236"/>
    </row>
    <row r="8" spans="2:8" ht="16.5" x14ac:dyDescent="0.25">
      <c r="B8" s="106"/>
      <c r="C8" s="107"/>
      <c r="D8" s="107"/>
      <c r="E8" s="107"/>
      <c r="F8" s="107"/>
      <c r="G8" s="107"/>
      <c r="H8" s="108"/>
    </row>
    <row r="9" spans="2:8" ht="16.5" customHeight="1" x14ac:dyDescent="0.25">
      <c r="B9" s="227" t="s">
        <v>201</v>
      </c>
      <c r="C9" s="228"/>
      <c r="D9" s="228"/>
      <c r="E9" s="228"/>
      <c r="F9" s="228"/>
      <c r="G9" s="228"/>
      <c r="H9" s="229"/>
    </row>
    <row r="10" spans="2:8" ht="44.25" customHeight="1" x14ac:dyDescent="0.25">
      <c r="B10" s="227"/>
      <c r="C10" s="228"/>
      <c r="D10" s="228"/>
      <c r="E10" s="228"/>
      <c r="F10" s="228"/>
      <c r="G10" s="228"/>
      <c r="H10" s="229"/>
    </row>
    <row r="11" spans="2:8" ht="15.75" thickBot="1" x14ac:dyDescent="0.3">
      <c r="B11" s="95"/>
      <c r="C11" s="98"/>
      <c r="D11" s="103"/>
      <c r="E11" s="104"/>
      <c r="F11" s="104"/>
      <c r="G11" s="105"/>
      <c r="H11" s="99"/>
    </row>
    <row r="12" spans="2:8" ht="15.75" thickTop="1" x14ac:dyDescent="0.25">
      <c r="B12" s="95"/>
      <c r="C12" s="230" t="s">
        <v>164</v>
      </c>
      <c r="D12" s="231"/>
      <c r="E12" s="232" t="s">
        <v>202</v>
      </c>
      <c r="F12" s="233"/>
      <c r="G12" s="98"/>
      <c r="H12" s="99"/>
    </row>
    <row r="13" spans="2:8" ht="35.25" customHeight="1" x14ac:dyDescent="0.25">
      <c r="B13" s="95"/>
      <c r="C13" s="237" t="s">
        <v>195</v>
      </c>
      <c r="D13" s="238"/>
      <c r="E13" s="239" t="s">
        <v>200</v>
      </c>
      <c r="F13" s="240"/>
      <c r="G13" s="98"/>
      <c r="H13" s="99"/>
    </row>
    <row r="14" spans="2:8" ht="17.25" customHeight="1" x14ac:dyDescent="0.25">
      <c r="B14" s="95"/>
      <c r="C14" s="237" t="s">
        <v>196</v>
      </c>
      <c r="D14" s="238"/>
      <c r="E14" s="239" t="s">
        <v>198</v>
      </c>
      <c r="F14" s="240"/>
      <c r="G14" s="98"/>
      <c r="H14" s="99"/>
    </row>
    <row r="15" spans="2:8" ht="19.5" customHeight="1" x14ac:dyDescent="0.25">
      <c r="B15" s="95"/>
      <c r="C15" s="237" t="s">
        <v>197</v>
      </c>
      <c r="D15" s="238"/>
      <c r="E15" s="239" t="s">
        <v>199</v>
      </c>
      <c r="F15" s="240"/>
      <c r="G15" s="98"/>
      <c r="H15" s="99"/>
    </row>
    <row r="16" spans="2:8" ht="69.75" customHeight="1" x14ac:dyDescent="0.25">
      <c r="B16" s="95"/>
      <c r="C16" s="237" t="s">
        <v>166</v>
      </c>
      <c r="D16" s="238"/>
      <c r="E16" s="239" t="s">
        <v>167</v>
      </c>
      <c r="F16" s="240"/>
      <c r="G16" s="98"/>
      <c r="H16" s="99"/>
    </row>
    <row r="17" spans="2:8" ht="34.5" customHeight="1" x14ac:dyDescent="0.25">
      <c r="B17" s="95"/>
      <c r="C17" s="241" t="s">
        <v>2</v>
      </c>
      <c r="D17" s="242"/>
      <c r="E17" s="243" t="s">
        <v>208</v>
      </c>
      <c r="F17" s="244"/>
      <c r="G17" s="98"/>
      <c r="H17" s="99"/>
    </row>
    <row r="18" spans="2:8" ht="27.75" customHeight="1" x14ac:dyDescent="0.25">
      <c r="B18" s="95"/>
      <c r="C18" s="241" t="s">
        <v>3</v>
      </c>
      <c r="D18" s="242"/>
      <c r="E18" s="243" t="s">
        <v>209</v>
      </c>
      <c r="F18" s="244"/>
      <c r="G18" s="98"/>
      <c r="H18" s="99"/>
    </row>
    <row r="19" spans="2:8" ht="28.5" customHeight="1" x14ac:dyDescent="0.25">
      <c r="B19" s="95"/>
      <c r="C19" s="241" t="s">
        <v>42</v>
      </c>
      <c r="D19" s="242"/>
      <c r="E19" s="243" t="s">
        <v>210</v>
      </c>
      <c r="F19" s="244"/>
      <c r="G19" s="98"/>
      <c r="H19" s="99"/>
    </row>
    <row r="20" spans="2:8" ht="72.75" customHeight="1" x14ac:dyDescent="0.25">
      <c r="B20" s="95"/>
      <c r="C20" s="241" t="s">
        <v>1</v>
      </c>
      <c r="D20" s="242"/>
      <c r="E20" s="243" t="s">
        <v>211</v>
      </c>
      <c r="F20" s="244"/>
      <c r="G20" s="98"/>
      <c r="H20" s="99"/>
    </row>
    <row r="21" spans="2:8" ht="64.5" customHeight="1" x14ac:dyDescent="0.25">
      <c r="B21" s="95"/>
      <c r="C21" s="241" t="s">
        <v>50</v>
      </c>
      <c r="D21" s="242"/>
      <c r="E21" s="243" t="s">
        <v>170</v>
      </c>
      <c r="F21" s="244"/>
      <c r="G21" s="98"/>
      <c r="H21" s="99"/>
    </row>
    <row r="22" spans="2:8" ht="71.25" customHeight="1" x14ac:dyDescent="0.25">
      <c r="B22" s="95"/>
      <c r="C22" s="241" t="s">
        <v>169</v>
      </c>
      <c r="D22" s="242"/>
      <c r="E22" s="243" t="s">
        <v>171</v>
      </c>
      <c r="F22" s="244"/>
      <c r="G22" s="98"/>
      <c r="H22" s="99"/>
    </row>
    <row r="23" spans="2:8" ht="55.5" customHeight="1" x14ac:dyDescent="0.25">
      <c r="B23" s="95"/>
      <c r="C23" s="248" t="s">
        <v>172</v>
      </c>
      <c r="D23" s="249"/>
      <c r="E23" s="243" t="s">
        <v>173</v>
      </c>
      <c r="F23" s="244"/>
      <c r="G23" s="98"/>
      <c r="H23" s="99"/>
    </row>
    <row r="24" spans="2:8" ht="42" customHeight="1" x14ac:dyDescent="0.25">
      <c r="B24" s="95"/>
      <c r="C24" s="248" t="s">
        <v>48</v>
      </c>
      <c r="D24" s="249"/>
      <c r="E24" s="243" t="s">
        <v>174</v>
      </c>
      <c r="F24" s="244"/>
      <c r="G24" s="98"/>
      <c r="H24" s="99"/>
    </row>
    <row r="25" spans="2:8" ht="59.25" customHeight="1" x14ac:dyDescent="0.25">
      <c r="B25" s="95"/>
      <c r="C25" s="248" t="s">
        <v>162</v>
      </c>
      <c r="D25" s="249"/>
      <c r="E25" s="243" t="s">
        <v>175</v>
      </c>
      <c r="F25" s="244"/>
      <c r="G25" s="98"/>
      <c r="H25" s="99"/>
    </row>
    <row r="26" spans="2:8" ht="23.25" customHeight="1" x14ac:dyDescent="0.25">
      <c r="B26" s="95"/>
      <c r="C26" s="248" t="s">
        <v>12</v>
      </c>
      <c r="D26" s="249"/>
      <c r="E26" s="243" t="s">
        <v>176</v>
      </c>
      <c r="F26" s="244"/>
      <c r="G26" s="98"/>
      <c r="H26" s="99"/>
    </row>
    <row r="27" spans="2:8" ht="30.75" customHeight="1" x14ac:dyDescent="0.25">
      <c r="B27" s="95"/>
      <c r="C27" s="248" t="s">
        <v>180</v>
      </c>
      <c r="D27" s="249"/>
      <c r="E27" s="243" t="s">
        <v>177</v>
      </c>
      <c r="F27" s="244"/>
      <c r="G27" s="98"/>
      <c r="H27" s="99"/>
    </row>
    <row r="28" spans="2:8" ht="35.25" customHeight="1" x14ac:dyDescent="0.25">
      <c r="B28" s="95"/>
      <c r="C28" s="248" t="s">
        <v>181</v>
      </c>
      <c r="D28" s="249"/>
      <c r="E28" s="243" t="s">
        <v>178</v>
      </c>
      <c r="F28" s="244"/>
      <c r="G28" s="98"/>
      <c r="H28" s="99"/>
    </row>
    <row r="29" spans="2:8" ht="33" customHeight="1" x14ac:dyDescent="0.25">
      <c r="B29" s="95"/>
      <c r="C29" s="248" t="s">
        <v>181</v>
      </c>
      <c r="D29" s="249"/>
      <c r="E29" s="243" t="s">
        <v>178</v>
      </c>
      <c r="F29" s="244"/>
      <c r="G29" s="98"/>
      <c r="H29" s="99"/>
    </row>
    <row r="30" spans="2:8" ht="30" customHeight="1" x14ac:dyDescent="0.25">
      <c r="B30" s="95"/>
      <c r="C30" s="248" t="s">
        <v>182</v>
      </c>
      <c r="D30" s="249"/>
      <c r="E30" s="243" t="s">
        <v>179</v>
      </c>
      <c r="F30" s="244"/>
      <c r="G30" s="98"/>
      <c r="H30" s="99"/>
    </row>
    <row r="31" spans="2:8" ht="35.25" customHeight="1" x14ac:dyDescent="0.25">
      <c r="B31" s="95"/>
      <c r="C31" s="248" t="s">
        <v>183</v>
      </c>
      <c r="D31" s="249"/>
      <c r="E31" s="243" t="s">
        <v>184</v>
      </c>
      <c r="F31" s="244"/>
      <c r="G31" s="98"/>
      <c r="H31" s="99"/>
    </row>
    <row r="32" spans="2:8" ht="31.5" customHeight="1" x14ac:dyDescent="0.25">
      <c r="B32" s="95"/>
      <c r="C32" s="248" t="s">
        <v>185</v>
      </c>
      <c r="D32" s="249"/>
      <c r="E32" s="243" t="s">
        <v>186</v>
      </c>
      <c r="F32" s="244"/>
      <c r="G32" s="98"/>
      <c r="H32" s="99"/>
    </row>
    <row r="33" spans="2:8" ht="35.25" customHeight="1" x14ac:dyDescent="0.25">
      <c r="B33" s="95"/>
      <c r="C33" s="248" t="s">
        <v>187</v>
      </c>
      <c r="D33" s="249"/>
      <c r="E33" s="243" t="s">
        <v>188</v>
      </c>
      <c r="F33" s="244"/>
      <c r="G33" s="98"/>
      <c r="H33" s="99"/>
    </row>
    <row r="34" spans="2:8" ht="59.25" customHeight="1" x14ac:dyDescent="0.25">
      <c r="B34" s="95"/>
      <c r="C34" s="248" t="s">
        <v>189</v>
      </c>
      <c r="D34" s="249"/>
      <c r="E34" s="243" t="s">
        <v>190</v>
      </c>
      <c r="F34" s="244"/>
      <c r="G34" s="98"/>
      <c r="H34" s="99"/>
    </row>
    <row r="35" spans="2:8" ht="29.25" customHeight="1" x14ac:dyDescent="0.25">
      <c r="B35" s="95"/>
      <c r="C35" s="248" t="s">
        <v>29</v>
      </c>
      <c r="D35" s="249"/>
      <c r="E35" s="243" t="s">
        <v>191</v>
      </c>
      <c r="F35" s="244"/>
      <c r="G35" s="98"/>
      <c r="H35" s="99"/>
    </row>
    <row r="36" spans="2:8" ht="82.5" customHeight="1" x14ac:dyDescent="0.25">
      <c r="B36" s="95"/>
      <c r="C36" s="248" t="s">
        <v>193</v>
      </c>
      <c r="D36" s="249"/>
      <c r="E36" s="243" t="s">
        <v>192</v>
      </c>
      <c r="F36" s="244"/>
      <c r="G36" s="98"/>
      <c r="H36" s="99"/>
    </row>
    <row r="37" spans="2:8" ht="46.5" customHeight="1" x14ac:dyDescent="0.25">
      <c r="B37" s="95"/>
      <c r="C37" s="248" t="s">
        <v>39</v>
      </c>
      <c r="D37" s="249"/>
      <c r="E37" s="243" t="s">
        <v>194</v>
      </c>
      <c r="F37" s="244"/>
      <c r="G37" s="98"/>
      <c r="H37" s="99"/>
    </row>
    <row r="38" spans="2:8" ht="6.75" customHeight="1" thickBot="1" x14ac:dyDescent="0.3">
      <c r="B38" s="95"/>
      <c r="C38" s="250"/>
      <c r="D38" s="251"/>
      <c r="E38" s="252"/>
      <c r="F38" s="253"/>
      <c r="G38" s="98"/>
      <c r="H38" s="99"/>
    </row>
    <row r="39" spans="2:8" ht="15.75" thickTop="1" x14ac:dyDescent="0.25">
      <c r="B39" s="95"/>
      <c r="C39" s="96"/>
      <c r="D39" s="96"/>
      <c r="E39" s="97"/>
      <c r="F39" s="97"/>
      <c r="G39" s="98"/>
      <c r="H39" s="99"/>
    </row>
    <row r="40" spans="2:8" ht="21" customHeight="1" x14ac:dyDescent="0.25">
      <c r="B40" s="245" t="s">
        <v>203</v>
      </c>
      <c r="C40" s="246"/>
      <c r="D40" s="246"/>
      <c r="E40" s="246"/>
      <c r="F40" s="246"/>
      <c r="G40" s="246"/>
      <c r="H40" s="247"/>
    </row>
    <row r="41" spans="2:8" ht="20.25" customHeight="1" x14ac:dyDescent="0.25">
      <c r="B41" s="245" t="s">
        <v>204</v>
      </c>
      <c r="C41" s="246"/>
      <c r="D41" s="246"/>
      <c r="E41" s="246"/>
      <c r="F41" s="246"/>
      <c r="G41" s="246"/>
      <c r="H41" s="247"/>
    </row>
    <row r="42" spans="2:8" ht="20.25" customHeight="1" x14ac:dyDescent="0.25">
      <c r="B42" s="245" t="s">
        <v>205</v>
      </c>
      <c r="C42" s="246"/>
      <c r="D42" s="246"/>
      <c r="E42" s="246"/>
      <c r="F42" s="246"/>
      <c r="G42" s="246"/>
      <c r="H42" s="247"/>
    </row>
    <row r="43" spans="2:8" ht="20.25" customHeight="1" x14ac:dyDescent="0.25">
      <c r="B43" s="245" t="s">
        <v>206</v>
      </c>
      <c r="C43" s="246"/>
      <c r="D43" s="246"/>
      <c r="E43" s="246"/>
      <c r="F43" s="246"/>
      <c r="G43" s="246"/>
      <c r="H43" s="247"/>
    </row>
    <row r="44" spans="2:8" x14ac:dyDescent="0.25">
      <c r="B44" s="245" t="s">
        <v>207</v>
      </c>
      <c r="C44" s="246"/>
      <c r="D44" s="246"/>
      <c r="E44" s="246"/>
      <c r="F44" s="246"/>
      <c r="G44" s="246"/>
      <c r="H44" s="247"/>
    </row>
    <row r="45" spans="2:8" ht="15.75" thickBot="1" x14ac:dyDescent="0.3">
      <c r="B45" s="100"/>
      <c r="C45" s="101"/>
      <c r="D45" s="101"/>
      <c r="E45" s="101"/>
      <c r="F45" s="101"/>
      <c r="G45" s="101"/>
      <c r="H45" s="102"/>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AJ77"/>
  <sheetViews>
    <sheetView tabSelected="1" view="pageBreakPreview" zoomScale="44" zoomScaleNormal="44" zoomScaleSheetLayoutView="44" workbookViewId="0">
      <selection activeCell="AI10" sqref="AI10:AI11"/>
    </sheetView>
  </sheetViews>
  <sheetFormatPr baseColWidth="10" defaultColWidth="11.42578125" defaultRowHeight="23.25" outlineLevelRow="1" x14ac:dyDescent="0.35"/>
  <cols>
    <col min="1" max="1" width="7.28515625" style="109" customWidth="1"/>
    <col min="2" max="2" width="24.140625" style="109" customWidth="1"/>
    <col min="3" max="3" width="35.85546875" style="109" customWidth="1"/>
    <col min="4" max="4" width="34.85546875" style="109" customWidth="1"/>
    <col min="5" max="5" width="55.28515625" style="110" customWidth="1"/>
    <col min="6" max="6" width="30.85546875" style="205" customWidth="1"/>
    <col min="7" max="7" width="25.85546875" style="110" customWidth="1"/>
    <col min="8" max="8" width="23.7109375" style="110" customWidth="1"/>
    <col min="9" max="9" width="10.140625" style="110" customWidth="1"/>
    <col min="10" max="10" width="26.42578125" style="110" customWidth="1"/>
    <col min="11" max="11" width="30.5703125" style="110" hidden="1" customWidth="1"/>
    <col min="12" max="12" width="20.7109375" style="110" customWidth="1"/>
    <col min="13" max="13" width="12" style="110" customWidth="1"/>
    <col min="14" max="14" width="19.28515625" style="110" customWidth="1"/>
    <col min="15" max="15" width="13.28515625" style="110" customWidth="1"/>
    <col min="16" max="16" width="81.7109375" style="110" customWidth="1"/>
    <col min="17" max="17" width="28.28515625" style="110" customWidth="1"/>
    <col min="18" max="18" width="6.85546875" style="110" customWidth="1"/>
    <col min="19" max="19" width="5" style="110" customWidth="1"/>
    <col min="20" max="20" width="10.85546875" style="110" customWidth="1"/>
    <col min="21" max="21" width="7.140625" style="110" customWidth="1"/>
    <col min="22" max="22" width="6.7109375" style="110" customWidth="1"/>
    <col min="23" max="23" width="7.5703125" style="110" customWidth="1"/>
    <col min="24" max="24" width="38.28515625" style="110" hidden="1" customWidth="1"/>
    <col min="25" max="25" width="10.5703125" style="110" customWidth="1"/>
    <col min="26" max="26" width="12.28515625" style="110" customWidth="1"/>
    <col min="27" max="27" width="11.42578125" style="110" customWidth="1"/>
    <col min="28" max="28" width="12.7109375" style="110" customWidth="1"/>
    <col min="29" max="30" width="8.42578125" style="110" customWidth="1"/>
    <col min="31" max="31" width="45.140625" style="110" customWidth="1"/>
    <col min="32" max="32" width="26.7109375" style="110" customWidth="1"/>
    <col min="33" max="33" width="29.5703125" style="110" customWidth="1"/>
    <col min="34" max="34" width="25.42578125" style="110" customWidth="1"/>
    <col min="35" max="35" width="42.5703125" style="110" customWidth="1"/>
    <col min="36" max="36" width="19.85546875" style="110" customWidth="1"/>
    <col min="37" max="16384" width="11.42578125" style="110"/>
  </cols>
  <sheetData>
    <row r="1" spans="1:36" ht="16.5" customHeight="1" x14ac:dyDescent="0.35">
      <c r="A1" s="265" t="s">
        <v>143</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row>
    <row r="2" spans="1:36" ht="24" customHeight="1" x14ac:dyDescent="0.35">
      <c r="A2" s="290"/>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row>
    <row r="3" spans="1:36" s="117" customFormat="1" x14ac:dyDescent="0.35">
      <c r="A3" s="111"/>
      <c r="B3" s="112"/>
      <c r="C3" s="113"/>
      <c r="D3" s="113"/>
      <c r="E3" s="114"/>
      <c r="F3" s="115"/>
      <c r="G3" s="114"/>
      <c r="H3" s="114"/>
      <c r="I3" s="114"/>
      <c r="J3" s="114"/>
      <c r="K3" s="114"/>
      <c r="L3" s="114"/>
      <c r="M3" s="114"/>
      <c r="N3" s="114"/>
      <c r="O3" s="114"/>
      <c r="P3" s="114"/>
      <c r="Q3" s="116"/>
      <c r="R3" s="207"/>
      <c r="S3" s="271" t="s">
        <v>221</v>
      </c>
      <c r="T3" s="272"/>
      <c r="U3" s="272"/>
      <c r="V3" s="272"/>
      <c r="W3" s="272"/>
      <c r="X3" s="272"/>
      <c r="Y3" s="272"/>
      <c r="Z3" s="272"/>
      <c r="AA3" s="272"/>
      <c r="AB3" s="272"/>
      <c r="AC3" s="272"/>
      <c r="AD3" s="272"/>
      <c r="AE3" s="272"/>
      <c r="AF3" s="273"/>
      <c r="AG3" s="207"/>
      <c r="AH3" s="207"/>
      <c r="AI3" s="207"/>
      <c r="AJ3" s="208"/>
    </row>
    <row r="4" spans="1:36" ht="26.25" customHeight="1" x14ac:dyDescent="0.35">
      <c r="A4" s="260" t="s">
        <v>43</v>
      </c>
      <c r="B4" s="261"/>
      <c r="C4" s="257" t="s">
        <v>216</v>
      </c>
      <c r="D4" s="258"/>
      <c r="E4" s="258"/>
      <c r="F4" s="258"/>
      <c r="G4" s="258"/>
      <c r="H4" s="258"/>
      <c r="I4" s="258"/>
      <c r="J4" s="258"/>
      <c r="K4" s="258"/>
      <c r="L4" s="258"/>
      <c r="M4" s="258"/>
      <c r="N4" s="258"/>
      <c r="O4" s="258"/>
      <c r="P4" s="258"/>
      <c r="Q4" s="259"/>
      <c r="R4" s="209"/>
      <c r="S4" s="274" t="s">
        <v>222</v>
      </c>
      <c r="T4" s="275"/>
      <c r="U4" s="275"/>
      <c r="V4" s="275"/>
      <c r="W4" s="275"/>
      <c r="X4" s="275"/>
      <c r="Y4" s="275"/>
      <c r="Z4" s="275"/>
      <c r="AA4" s="275"/>
      <c r="AB4" s="275"/>
      <c r="AC4" s="275"/>
      <c r="AD4" s="275"/>
      <c r="AE4" s="275"/>
      <c r="AF4" s="276"/>
      <c r="AG4" s="210"/>
      <c r="AH4" s="210"/>
      <c r="AI4" s="210"/>
      <c r="AJ4" s="211"/>
    </row>
    <row r="5" spans="1:36" ht="43.9" customHeight="1" x14ac:dyDescent="0.35">
      <c r="A5" s="262" t="s">
        <v>130</v>
      </c>
      <c r="B5" s="263"/>
      <c r="C5" s="254" t="s">
        <v>228</v>
      </c>
      <c r="D5" s="255"/>
      <c r="E5" s="255"/>
      <c r="F5" s="255"/>
      <c r="G5" s="255"/>
      <c r="H5" s="255"/>
      <c r="I5" s="255"/>
      <c r="J5" s="255"/>
      <c r="K5" s="255"/>
      <c r="L5" s="255"/>
      <c r="M5" s="255"/>
      <c r="N5" s="255"/>
      <c r="O5" s="255"/>
      <c r="P5" s="255"/>
      <c r="Q5" s="256"/>
      <c r="R5" s="209"/>
      <c r="S5" s="294" t="s">
        <v>223</v>
      </c>
      <c r="T5" s="275"/>
      <c r="U5" s="275"/>
      <c r="V5" s="275"/>
      <c r="W5" s="275"/>
      <c r="X5" s="275"/>
      <c r="Y5" s="275"/>
      <c r="Z5" s="275"/>
      <c r="AA5" s="275"/>
      <c r="AB5" s="275"/>
      <c r="AC5" s="275"/>
      <c r="AD5" s="275"/>
      <c r="AE5" s="275"/>
      <c r="AF5" s="276"/>
      <c r="AG5" s="210"/>
      <c r="AH5" s="210"/>
      <c r="AI5" s="210"/>
      <c r="AJ5" s="211"/>
    </row>
    <row r="6" spans="1:36" ht="49.5" customHeight="1" x14ac:dyDescent="0.35">
      <c r="A6" s="262" t="s">
        <v>44</v>
      </c>
      <c r="B6" s="263"/>
      <c r="C6" s="254" t="s">
        <v>229</v>
      </c>
      <c r="D6" s="255"/>
      <c r="E6" s="255"/>
      <c r="F6" s="255"/>
      <c r="G6" s="255"/>
      <c r="H6" s="255"/>
      <c r="I6" s="255"/>
      <c r="J6" s="255"/>
      <c r="K6" s="255"/>
      <c r="L6" s="255"/>
      <c r="M6" s="255"/>
      <c r="N6" s="255"/>
      <c r="O6" s="255"/>
      <c r="P6" s="255"/>
      <c r="Q6" s="256"/>
      <c r="R6" s="212"/>
      <c r="S6" s="295" t="s">
        <v>224</v>
      </c>
      <c r="T6" s="296"/>
      <c r="U6" s="296"/>
      <c r="V6" s="296"/>
      <c r="W6" s="296"/>
      <c r="X6" s="296"/>
      <c r="Y6" s="296"/>
      <c r="Z6" s="296"/>
      <c r="AA6" s="296"/>
      <c r="AB6" s="296"/>
      <c r="AC6" s="296"/>
      <c r="AD6" s="296"/>
      <c r="AE6" s="296"/>
      <c r="AF6" s="297"/>
      <c r="AG6" s="213"/>
      <c r="AH6" s="213"/>
      <c r="AI6" s="213"/>
      <c r="AJ6" s="214"/>
    </row>
    <row r="7" spans="1:36" x14ac:dyDescent="0.35">
      <c r="A7" s="265" t="s">
        <v>138</v>
      </c>
      <c r="B7" s="265"/>
      <c r="C7" s="267"/>
      <c r="D7" s="267"/>
      <c r="E7" s="267"/>
      <c r="F7" s="267"/>
      <c r="G7" s="267"/>
      <c r="H7" s="267" t="s">
        <v>139</v>
      </c>
      <c r="I7" s="267"/>
      <c r="J7" s="267"/>
      <c r="K7" s="267"/>
      <c r="L7" s="267"/>
      <c r="M7" s="267"/>
      <c r="N7" s="291"/>
      <c r="O7" s="265" t="s">
        <v>140</v>
      </c>
      <c r="P7" s="265"/>
      <c r="Q7" s="265"/>
      <c r="R7" s="265"/>
      <c r="S7" s="265"/>
      <c r="T7" s="265"/>
      <c r="U7" s="265"/>
      <c r="V7" s="265"/>
      <c r="W7" s="265"/>
      <c r="X7" s="292" t="s">
        <v>141</v>
      </c>
      <c r="Y7" s="292"/>
      <c r="Z7" s="292"/>
      <c r="AA7" s="292"/>
      <c r="AB7" s="292"/>
      <c r="AC7" s="292"/>
      <c r="AD7" s="292"/>
      <c r="AE7" s="292" t="s">
        <v>34</v>
      </c>
      <c r="AF7" s="292"/>
      <c r="AG7" s="292"/>
      <c r="AH7" s="292"/>
      <c r="AI7" s="292"/>
      <c r="AJ7" s="292"/>
    </row>
    <row r="8" spans="1:36" ht="16.5" customHeight="1" x14ac:dyDescent="0.35">
      <c r="A8" s="264" t="s">
        <v>0</v>
      </c>
      <c r="B8" s="265" t="s">
        <v>2</v>
      </c>
      <c r="C8" s="265" t="s">
        <v>3</v>
      </c>
      <c r="D8" s="265" t="s">
        <v>42</v>
      </c>
      <c r="E8" s="265" t="s">
        <v>1</v>
      </c>
      <c r="F8" s="265" t="s">
        <v>50</v>
      </c>
      <c r="G8" s="265" t="s">
        <v>134</v>
      </c>
      <c r="H8" s="265" t="s">
        <v>33</v>
      </c>
      <c r="I8" s="265" t="s">
        <v>5</v>
      </c>
      <c r="J8" s="265" t="s">
        <v>87</v>
      </c>
      <c r="K8" s="265" t="s">
        <v>92</v>
      </c>
      <c r="L8" s="265" t="s">
        <v>45</v>
      </c>
      <c r="M8" s="265" t="s">
        <v>5</v>
      </c>
      <c r="N8" s="265" t="s">
        <v>48</v>
      </c>
      <c r="O8" s="266" t="s">
        <v>11</v>
      </c>
      <c r="P8" s="267" t="s">
        <v>162</v>
      </c>
      <c r="Q8" s="267" t="s">
        <v>12</v>
      </c>
      <c r="R8" s="267" t="s">
        <v>8</v>
      </c>
      <c r="S8" s="267"/>
      <c r="T8" s="267"/>
      <c r="U8" s="267"/>
      <c r="V8" s="267"/>
      <c r="W8" s="267"/>
      <c r="X8" s="266" t="s">
        <v>137</v>
      </c>
      <c r="Y8" s="266" t="s">
        <v>46</v>
      </c>
      <c r="Z8" s="266" t="s">
        <v>5</v>
      </c>
      <c r="AA8" s="266" t="s">
        <v>47</v>
      </c>
      <c r="AB8" s="266" t="s">
        <v>5</v>
      </c>
      <c r="AC8" s="266" t="s">
        <v>49</v>
      </c>
      <c r="AD8" s="266" t="s">
        <v>29</v>
      </c>
      <c r="AE8" s="267" t="s">
        <v>34</v>
      </c>
      <c r="AF8" s="267" t="s">
        <v>35</v>
      </c>
      <c r="AG8" s="267" t="s">
        <v>36</v>
      </c>
      <c r="AH8" s="267" t="s">
        <v>38</v>
      </c>
      <c r="AI8" s="267" t="s">
        <v>37</v>
      </c>
      <c r="AJ8" s="267" t="s">
        <v>39</v>
      </c>
    </row>
    <row r="9" spans="1:36" s="119" customFormat="1" ht="94.5" customHeight="1" x14ac:dyDescent="0.25">
      <c r="A9" s="264"/>
      <c r="B9" s="265"/>
      <c r="C9" s="265"/>
      <c r="D9" s="265"/>
      <c r="E9" s="265"/>
      <c r="F9" s="265"/>
      <c r="G9" s="265"/>
      <c r="H9" s="265"/>
      <c r="I9" s="265"/>
      <c r="J9" s="265"/>
      <c r="K9" s="265"/>
      <c r="L9" s="265"/>
      <c r="M9" s="265"/>
      <c r="N9" s="265"/>
      <c r="O9" s="264"/>
      <c r="P9" s="265"/>
      <c r="Q9" s="265"/>
      <c r="R9" s="118" t="s">
        <v>13</v>
      </c>
      <c r="S9" s="118" t="s">
        <v>17</v>
      </c>
      <c r="T9" s="118" t="s">
        <v>28</v>
      </c>
      <c r="U9" s="118" t="s">
        <v>18</v>
      </c>
      <c r="V9" s="118" t="s">
        <v>21</v>
      </c>
      <c r="W9" s="118" t="s">
        <v>24</v>
      </c>
      <c r="X9" s="264"/>
      <c r="Y9" s="264"/>
      <c r="Z9" s="264"/>
      <c r="AA9" s="264"/>
      <c r="AB9" s="264"/>
      <c r="AC9" s="264"/>
      <c r="AD9" s="264"/>
      <c r="AE9" s="265"/>
      <c r="AF9" s="265"/>
      <c r="AG9" s="265"/>
      <c r="AH9" s="265"/>
      <c r="AI9" s="265"/>
      <c r="AJ9" s="265"/>
    </row>
    <row r="10" spans="1:36" s="132" customFormat="1" ht="407.25" customHeight="1" x14ac:dyDescent="0.25">
      <c r="A10" s="120">
        <v>26</v>
      </c>
      <c r="B10" s="121" t="s">
        <v>132</v>
      </c>
      <c r="C10" s="122" t="s">
        <v>227</v>
      </c>
      <c r="D10" s="122" t="s">
        <v>225</v>
      </c>
      <c r="E10" s="123" t="s">
        <v>217</v>
      </c>
      <c r="F10" s="206" t="s">
        <v>125</v>
      </c>
      <c r="G10" s="121">
        <v>10</v>
      </c>
      <c r="H10" s="124" t="str">
        <f>IF(G10&lt;=0,"",IF(G10&lt;=2,"Muy Baja",IF(G10&lt;=24,"Baja",IF(G10&lt;=500,"Media",IF(G10&lt;=5000,"Alta","Muy Alta")))))</f>
        <v>Baja</v>
      </c>
      <c r="I10" s="125">
        <f>IF(H10="","",IF(H10="Muy Baja",0.2,IF(H10="Baja",0.4,IF(H10="Media",0.6,IF(H10="Alta",0.8,IF(H10="Muy Alta",1,))))))</f>
        <v>0.4</v>
      </c>
      <c r="J10" s="126" t="s">
        <v>148</v>
      </c>
      <c r="K10" s="125" t="str">
        <f>IF(NOT(ISERROR(MATCH(J10,'Tabla Impacto'!$B$221:$B$223,0))),'Tabla Impacto'!$F$223&amp;"Por favor no seleccionar los criterios de impacto(Afectación Económica o presupuestal y Pérdida Reputacional)",J10)</f>
        <v xml:space="preserve">     Entre 50 y 100 SMLMV </v>
      </c>
      <c r="L10" s="124" t="str">
        <f>IF(OR(K10='Tabla Impacto'!$C$11,K10='Tabla Impacto'!$D$11),"Leve",IF(OR(K10='Tabla Impacto'!$C$12,K10='Tabla Impacto'!$D$12),"Menor",IF(OR(K10='Tabla Impacto'!$C$13,K10='Tabla Impacto'!$D$13),"Moderado",IF(OR(K10='Tabla Impacto'!$C$14,K10='Tabla Impacto'!$D$14),"Mayor",IF(OR(K10='Tabla Impacto'!$C$15,K10='Tabla Impacto'!$D$15),"Catastrófico","")))))</f>
        <v>Moderado</v>
      </c>
      <c r="M10" s="125">
        <f>IF(L10="","",IF(L10="Leve",0.2,IF(L10="Menor",0.4,IF(L10="Moderado",0.6,IF(L10="Mayor",0.8,IF(L10="Catastrófico",1,))))))</f>
        <v>0.6</v>
      </c>
      <c r="N10" s="12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0">
        <v>26</v>
      </c>
      <c r="P10" s="122" t="s">
        <v>218</v>
      </c>
      <c r="Q10" s="127" t="str">
        <f>IF(OR(R10="Preventivo",R10="Detectivo"),"Probabilidad",IF(R10="Correctivo","Impacto",""))</f>
        <v>Probabilidad</v>
      </c>
      <c r="R10" s="128" t="s">
        <v>14</v>
      </c>
      <c r="S10" s="128" t="s">
        <v>9</v>
      </c>
      <c r="T10" s="125" t="str">
        <f>IF(AND(R10="Preventivo",S10="Automático"),"50%",IF(AND(R10="Preventivo",S10="Manual"),"40%",IF(AND(R10="Detectivo",S10="Automático"),"40%",IF(AND(R10="Detectivo",S10="Manual"),"30%",IF(AND(R10="Correctivo",S10="Automático"),"35%",IF(AND(R10="Correctivo",S10="Manual"),"25%",""))))))</f>
        <v>40%</v>
      </c>
      <c r="U10" s="128" t="s">
        <v>19</v>
      </c>
      <c r="V10" s="128" t="s">
        <v>22</v>
      </c>
      <c r="W10" s="128" t="s">
        <v>119</v>
      </c>
      <c r="X10" s="129">
        <f>IFERROR(IF(Q10="Probabilidad",(I10-(+I10*T10)),IF(Q10="Impacto",I10,"")),"")</f>
        <v>0.24</v>
      </c>
      <c r="Y10" s="124" t="str">
        <f>IFERROR(IF(X10="","",IF(X10&lt;=0.2,"Muy Baja",IF(X10&lt;=0.4,"Baja",IF(X10&lt;=0.6,"Media",IF(X10&lt;=0.8,"Alta","Muy Alta"))))),"")</f>
        <v>Baja</v>
      </c>
      <c r="Z10" s="125">
        <f>+X10</f>
        <v>0.24</v>
      </c>
      <c r="AA10" s="124" t="str">
        <f>IFERROR(IF(AB10="","",IF(AB10&lt;=0.2,"Leve",IF(AB10&lt;=0.4,"Menor",IF(AB10&lt;=0.6,"Moderado",IF(AB10&lt;=0.8,"Mayor","Catastrófico"))))),"")</f>
        <v>Moderado</v>
      </c>
      <c r="AB10" s="125">
        <f>IFERROR(IF(Q10="Impacto",(M10-(+M10*T10)),IF(Q10="Probabilidad",M10,"")),"")</f>
        <v>0.6</v>
      </c>
      <c r="AC10" s="124"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28" t="s">
        <v>32</v>
      </c>
      <c r="AE10" s="130" t="s">
        <v>219</v>
      </c>
      <c r="AF10" s="122" t="s">
        <v>230</v>
      </c>
      <c r="AG10" s="131" t="s">
        <v>232</v>
      </c>
      <c r="AH10" s="131" t="s">
        <v>214</v>
      </c>
      <c r="AI10" s="270" t="s">
        <v>212</v>
      </c>
      <c r="AJ10" s="121" t="s">
        <v>41</v>
      </c>
    </row>
    <row r="11" spans="1:36" ht="151.5" hidden="1" customHeight="1" outlineLevel="1" x14ac:dyDescent="0.35">
      <c r="A11" s="133"/>
      <c r="B11" s="134"/>
      <c r="C11" s="121"/>
      <c r="D11" s="135"/>
      <c r="E11" s="121"/>
      <c r="F11" s="136"/>
      <c r="G11" s="136"/>
      <c r="H11" s="137"/>
      <c r="I11" s="138"/>
      <c r="J11" s="139"/>
      <c r="K11" s="138">
        <f>IF(NOT(ISERROR(MATCH(J11,_xlfn.ANCHORARRAY(E22),0))),I24&amp;"Por favor no seleccionar los criterios de impacto",J11)</f>
        <v>0</v>
      </c>
      <c r="L11" s="137"/>
      <c r="M11" s="138"/>
      <c r="N11" s="137"/>
      <c r="O11" s="140"/>
      <c r="P11" s="141"/>
      <c r="Q11" s="142" t="str">
        <f>IF(OR(R11="Preventivo",R11="Detectivo"),"Probabilidad",IF(R11="Correctivo","Impacto",""))</f>
        <v/>
      </c>
      <c r="R11" s="143"/>
      <c r="S11" s="143"/>
      <c r="T11" s="144" t="str">
        <f t="shared" ref="T11:T15" si="0">IF(AND(R11="Preventivo",S11="Automático"),"50%",IF(AND(R11="Preventivo",S11="Manual"),"40%",IF(AND(R11="Detectivo",S11="Automático"),"40%",IF(AND(R11="Detectivo",S11="Manual"),"30%",IF(AND(R11="Correctivo",S11="Automático"),"35%",IF(AND(R11="Correctivo",S11="Manual"),"25%",""))))))</f>
        <v/>
      </c>
      <c r="U11" s="143"/>
      <c r="V11" s="143"/>
      <c r="W11" s="143"/>
      <c r="X11" s="145" t="str">
        <f>IFERROR(IF(AND(Q10="Probabilidad",Q11="Probabilidad"),(Z10-(+Z10*T11)),IF(Q11="Probabilidad",(I10-(+I10*T11)),IF(Q11="Impacto",Z10,""))),"")</f>
        <v/>
      </c>
      <c r="Y11" s="146" t="str">
        <f t="shared" ref="Y11:Y69" si="1">IFERROR(IF(X11="","",IF(X11&lt;=0.2,"Muy Baja",IF(X11&lt;=0.4,"Baja",IF(X11&lt;=0.6,"Media",IF(X11&lt;=0.8,"Alta","Muy Alta"))))),"")</f>
        <v/>
      </c>
      <c r="Z11" s="144" t="str">
        <f t="shared" ref="Z11:Z15" si="2">+X11</f>
        <v/>
      </c>
      <c r="AA11" s="146" t="str">
        <f t="shared" ref="AA11:AA69" si="3">IFERROR(IF(AB11="","",IF(AB11&lt;=0.2,"Leve",IF(AB11&lt;=0.4,"Menor",IF(AB11&lt;=0.6,"Moderado",IF(AB11&lt;=0.8,"Mayor","Catastrófico"))))),"")</f>
        <v/>
      </c>
      <c r="AB11" s="144" t="str">
        <f>IFERROR(IF(AND(Q10="Impacto",Q11="Impacto"),(AB10-(+AB10*T11)),IF(Q11="Impacto",($M$10-(+$M$10*T11)),IF(Q11="Probabilidad",AB10,""))),"")</f>
        <v/>
      </c>
      <c r="AC11" s="14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43"/>
      <c r="AE11" s="147"/>
      <c r="AF11" s="147"/>
      <c r="AG11" s="148"/>
      <c r="AH11" s="148"/>
      <c r="AI11" s="270"/>
      <c r="AJ11" s="147"/>
    </row>
    <row r="12" spans="1:36" ht="151.5" hidden="1" customHeight="1" outlineLevel="1" x14ac:dyDescent="0.35">
      <c r="A12" s="133"/>
      <c r="B12" s="134"/>
      <c r="C12" s="121"/>
      <c r="D12" s="135"/>
      <c r="E12" s="121"/>
      <c r="F12" s="136"/>
      <c r="G12" s="136"/>
      <c r="H12" s="137"/>
      <c r="I12" s="138"/>
      <c r="J12" s="139"/>
      <c r="K12" s="138">
        <f>IF(NOT(ISERROR(MATCH(J12,_xlfn.ANCHORARRAY(E23),0))),I25&amp;"Por favor no seleccionar los criterios de impacto",J12)</f>
        <v>0</v>
      </c>
      <c r="L12" s="137"/>
      <c r="M12" s="138"/>
      <c r="N12" s="137"/>
      <c r="O12" s="140"/>
      <c r="P12" s="141"/>
      <c r="Q12" s="142" t="str">
        <f>IF(OR(R12="Preventivo",R12="Detectivo"),"Probabilidad",IF(R12="Correctivo","Impacto",""))</f>
        <v/>
      </c>
      <c r="R12" s="143"/>
      <c r="S12" s="143"/>
      <c r="T12" s="144" t="str">
        <f t="shared" si="0"/>
        <v/>
      </c>
      <c r="U12" s="143"/>
      <c r="V12" s="143"/>
      <c r="W12" s="143"/>
      <c r="X12" s="145" t="str">
        <f>IFERROR(IF(AND(Q11="Probabilidad",Q12="Probabilidad"),(Z11-(+Z11*T12)),IF(AND(Q11="Impacto",Q12="Probabilidad"),(Z10-(+Z10*T12)),IF(Q12="Impacto",Z11,""))),"")</f>
        <v/>
      </c>
      <c r="Y12" s="146" t="str">
        <f t="shared" si="1"/>
        <v/>
      </c>
      <c r="Z12" s="144" t="str">
        <f t="shared" si="2"/>
        <v/>
      </c>
      <c r="AA12" s="146" t="str">
        <f t="shared" si="3"/>
        <v/>
      </c>
      <c r="AB12" s="144" t="str">
        <f>IFERROR(IF(AND(Q11="Impacto",Q12="Impacto"),(AB11-(+AB11*T12)),IF(AND(Q11="Probabilidad",Q12="Impacto"),(AB10-(+AB10*T12)),IF(Q12="Probabilidad",AB11,""))),"")</f>
        <v/>
      </c>
      <c r="AC12" s="146" t="str">
        <f t="shared" si="4"/>
        <v/>
      </c>
      <c r="AD12" s="143"/>
      <c r="AE12" s="147"/>
      <c r="AF12" s="147"/>
      <c r="AG12" s="148"/>
      <c r="AH12" s="148"/>
      <c r="AI12" s="147"/>
      <c r="AJ12" s="147"/>
    </row>
    <row r="13" spans="1:36" ht="151.5" hidden="1" customHeight="1" outlineLevel="1" x14ac:dyDescent="0.35">
      <c r="A13" s="133"/>
      <c r="B13" s="134"/>
      <c r="C13" s="121"/>
      <c r="D13" s="135"/>
      <c r="E13" s="121"/>
      <c r="F13" s="136"/>
      <c r="G13" s="136"/>
      <c r="H13" s="137"/>
      <c r="I13" s="138"/>
      <c r="J13" s="139"/>
      <c r="K13" s="138">
        <f>IF(NOT(ISERROR(MATCH(J13,_xlfn.ANCHORARRAY(E24),0))),I26&amp;"Por favor no seleccionar los criterios de impacto",J13)</f>
        <v>0</v>
      </c>
      <c r="L13" s="137"/>
      <c r="M13" s="138"/>
      <c r="N13" s="137"/>
      <c r="O13" s="140"/>
      <c r="P13" s="141"/>
      <c r="Q13" s="142" t="str">
        <f t="shared" ref="Q13:Q15" si="5">IF(OR(R13="Preventivo",R13="Detectivo"),"Probabilidad",IF(R13="Correctivo","Impacto",""))</f>
        <v/>
      </c>
      <c r="R13" s="143"/>
      <c r="S13" s="143"/>
      <c r="T13" s="144" t="str">
        <f t="shared" si="0"/>
        <v/>
      </c>
      <c r="U13" s="143"/>
      <c r="V13" s="143"/>
      <c r="W13" s="143"/>
      <c r="X13" s="145" t="str">
        <f t="shared" ref="X13:X15" si="6">IFERROR(IF(AND(Q12="Probabilidad",Q13="Probabilidad"),(Z12-(+Z12*T13)),IF(AND(Q12="Impacto",Q13="Probabilidad"),(Z11-(+Z11*T13)),IF(Q13="Impacto",Z12,""))),"")</f>
        <v/>
      </c>
      <c r="Y13" s="146" t="str">
        <f t="shared" si="1"/>
        <v/>
      </c>
      <c r="Z13" s="144" t="str">
        <f t="shared" si="2"/>
        <v/>
      </c>
      <c r="AA13" s="146" t="str">
        <f t="shared" si="3"/>
        <v/>
      </c>
      <c r="AB13" s="144" t="str">
        <f t="shared" ref="AB13:AB15" si="7">IFERROR(IF(AND(Q12="Impacto",Q13="Impacto"),(AB12-(+AB12*T13)),IF(AND(Q12="Probabilidad",Q13="Impacto"),(AB11-(+AB11*T13)),IF(Q13="Probabilidad",AB12,""))),"")</f>
        <v/>
      </c>
      <c r="AC13" s="14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43"/>
      <c r="AE13" s="147"/>
      <c r="AF13" s="147"/>
      <c r="AG13" s="148"/>
      <c r="AH13" s="148"/>
      <c r="AI13" s="147"/>
      <c r="AJ13" s="147"/>
    </row>
    <row r="14" spans="1:36" ht="151.5" hidden="1" customHeight="1" outlineLevel="1" x14ac:dyDescent="0.35">
      <c r="A14" s="133"/>
      <c r="B14" s="134"/>
      <c r="C14" s="121"/>
      <c r="D14" s="135"/>
      <c r="E14" s="121"/>
      <c r="F14" s="136"/>
      <c r="G14" s="136"/>
      <c r="H14" s="137"/>
      <c r="I14" s="138"/>
      <c r="J14" s="139"/>
      <c r="K14" s="138">
        <f>IF(NOT(ISERROR(MATCH(J14,_xlfn.ANCHORARRAY(E25),0))),I27&amp;"Por favor no seleccionar los criterios de impacto",J14)</f>
        <v>0</v>
      </c>
      <c r="L14" s="137"/>
      <c r="M14" s="138"/>
      <c r="N14" s="137"/>
      <c r="O14" s="140"/>
      <c r="P14" s="141"/>
      <c r="Q14" s="142" t="str">
        <f t="shared" si="5"/>
        <v/>
      </c>
      <c r="R14" s="143"/>
      <c r="S14" s="143"/>
      <c r="T14" s="144" t="str">
        <f t="shared" si="0"/>
        <v/>
      </c>
      <c r="U14" s="143"/>
      <c r="V14" s="143"/>
      <c r="W14" s="143"/>
      <c r="X14" s="145" t="str">
        <f t="shared" si="6"/>
        <v/>
      </c>
      <c r="Y14" s="146" t="str">
        <f t="shared" si="1"/>
        <v/>
      </c>
      <c r="Z14" s="144" t="str">
        <f t="shared" si="2"/>
        <v/>
      </c>
      <c r="AA14" s="146" t="str">
        <f t="shared" si="3"/>
        <v/>
      </c>
      <c r="AB14" s="144" t="str">
        <f t="shared" si="7"/>
        <v/>
      </c>
      <c r="AC14" s="146" t="str">
        <f t="shared" si="4"/>
        <v/>
      </c>
      <c r="AD14" s="143"/>
      <c r="AE14" s="147"/>
      <c r="AF14" s="147"/>
      <c r="AG14" s="148"/>
      <c r="AH14" s="148"/>
      <c r="AI14" s="147"/>
      <c r="AJ14" s="147"/>
    </row>
    <row r="15" spans="1:36" ht="151.5" hidden="1" customHeight="1" outlineLevel="1" x14ac:dyDescent="0.35">
      <c r="A15" s="133"/>
      <c r="B15" s="134"/>
      <c r="C15" s="121"/>
      <c r="D15" s="135"/>
      <c r="E15" s="121"/>
      <c r="F15" s="136"/>
      <c r="G15" s="136"/>
      <c r="H15" s="137"/>
      <c r="I15" s="138"/>
      <c r="J15" s="139"/>
      <c r="K15" s="138">
        <f>IF(NOT(ISERROR(MATCH(J15,_xlfn.ANCHORARRAY(E26),0))),I28&amp;"Por favor no seleccionar los criterios de impacto",J15)</f>
        <v>0</v>
      </c>
      <c r="L15" s="137"/>
      <c r="M15" s="138"/>
      <c r="N15" s="137"/>
      <c r="O15" s="140"/>
      <c r="P15" s="141"/>
      <c r="Q15" s="142" t="str">
        <f t="shared" si="5"/>
        <v/>
      </c>
      <c r="R15" s="143"/>
      <c r="S15" s="143"/>
      <c r="T15" s="144" t="str">
        <f t="shared" si="0"/>
        <v/>
      </c>
      <c r="U15" s="143"/>
      <c r="V15" s="143"/>
      <c r="W15" s="143"/>
      <c r="X15" s="145" t="str">
        <f t="shared" si="6"/>
        <v/>
      </c>
      <c r="Y15" s="146" t="str">
        <f t="shared" si="1"/>
        <v/>
      </c>
      <c r="Z15" s="144" t="str">
        <f t="shared" si="2"/>
        <v/>
      </c>
      <c r="AA15" s="146" t="str">
        <f t="shared" si="3"/>
        <v/>
      </c>
      <c r="AB15" s="144" t="str">
        <f t="shared" si="7"/>
        <v/>
      </c>
      <c r="AC15" s="146" t="str">
        <f t="shared" si="4"/>
        <v/>
      </c>
      <c r="AD15" s="143"/>
      <c r="AE15" s="147"/>
      <c r="AF15" s="147"/>
      <c r="AG15" s="148"/>
      <c r="AH15" s="148"/>
      <c r="AI15" s="147"/>
      <c r="AJ15" s="147"/>
    </row>
    <row r="16" spans="1:36" ht="151.5" hidden="1" customHeight="1" collapsed="1" x14ac:dyDescent="0.35">
      <c r="A16" s="284"/>
      <c r="B16" s="270"/>
      <c r="C16" s="289"/>
      <c r="D16" s="289"/>
      <c r="E16" s="289"/>
      <c r="F16" s="270"/>
      <c r="G16" s="270"/>
      <c r="H16" s="283"/>
      <c r="I16" s="282"/>
      <c r="J16" s="299"/>
      <c r="K16" s="125"/>
      <c r="L16" s="283"/>
      <c r="M16" s="282"/>
      <c r="N16" s="283"/>
      <c r="O16" s="284"/>
      <c r="P16" s="277"/>
      <c r="Q16" s="300"/>
      <c r="R16" s="285"/>
      <c r="S16" s="285"/>
      <c r="T16" s="282"/>
      <c r="U16" s="285"/>
      <c r="V16" s="285"/>
      <c r="W16" s="285"/>
      <c r="X16" s="129"/>
      <c r="Y16" s="283"/>
      <c r="Z16" s="282"/>
      <c r="AA16" s="283"/>
      <c r="AB16" s="282"/>
      <c r="AC16" s="283"/>
      <c r="AD16" s="285"/>
      <c r="AE16" s="293"/>
      <c r="AF16" s="277"/>
      <c r="AG16" s="268"/>
      <c r="AH16" s="268"/>
      <c r="AI16" s="270"/>
      <c r="AJ16" s="270"/>
    </row>
    <row r="17" spans="1:36" ht="126.75" hidden="1" customHeight="1" x14ac:dyDescent="0.35">
      <c r="A17" s="284"/>
      <c r="B17" s="270"/>
      <c r="C17" s="289"/>
      <c r="D17" s="289"/>
      <c r="E17" s="289"/>
      <c r="F17" s="270"/>
      <c r="G17" s="270"/>
      <c r="H17" s="283"/>
      <c r="I17" s="282"/>
      <c r="J17" s="299"/>
      <c r="K17" s="125"/>
      <c r="L17" s="283"/>
      <c r="M17" s="282"/>
      <c r="N17" s="283"/>
      <c r="O17" s="284"/>
      <c r="P17" s="277"/>
      <c r="Q17" s="300"/>
      <c r="R17" s="285"/>
      <c r="S17" s="285"/>
      <c r="T17" s="282"/>
      <c r="U17" s="285"/>
      <c r="V17" s="285"/>
      <c r="W17" s="285"/>
      <c r="X17" s="129"/>
      <c r="Y17" s="283"/>
      <c r="Z17" s="282"/>
      <c r="AA17" s="283"/>
      <c r="AB17" s="282"/>
      <c r="AC17" s="283"/>
      <c r="AD17" s="285"/>
      <c r="AE17" s="293"/>
      <c r="AF17" s="277"/>
      <c r="AG17" s="268"/>
      <c r="AH17" s="269"/>
      <c r="AI17" s="270"/>
      <c r="AJ17" s="270"/>
    </row>
    <row r="18" spans="1:36" ht="151.5" hidden="1" customHeight="1" outlineLevel="1" x14ac:dyDescent="0.35">
      <c r="A18" s="149"/>
      <c r="B18" s="134"/>
      <c r="C18" s="134"/>
      <c r="D18" s="134"/>
      <c r="E18" s="134"/>
      <c r="F18" s="134"/>
      <c r="G18" s="134"/>
      <c r="H18" s="150"/>
      <c r="I18" s="151"/>
      <c r="J18" s="152"/>
      <c r="K18" s="151"/>
      <c r="L18" s="150"/>
      <c r="M18" s="151"/>
      <c r="N18" s="150"/>
      <c r="O18" s="120"/>
      <c r="P18" s="270"/>
      <c r="Q18" s="142"/>
      <c r="R18" s="143"/>
      <c r="S18" s="143"/>
      <c r="T18" s="144"/>
      <c r="U18" s="143"/>
      <c r="V18" s="143"/>
      <c r="W18" s="143"/>
      <c r="X18" s="145"/>
      <c r="Y18" s="146"/>
      <c r="Z18" s="144"/>
      <c r="AA18" s="146"/>
      <c r="AB18" s="144"/>
      <c r="AC18" s="146"/>
      <c r="AD18" s="143"/>
      <c r="AE18" s="147"/>
      <c r="AF18" s="147"/>
      <c r="AG18" s="148"/>
      <c r="AH18" s="148"/>
      <c r="AI18" s="147"/>
      <c r="AJ18" s="147"/>
    </row>
    <row r="19" spans="1:36" ht="151.5" hidden="1" customHeight="1" outlineLevel="1" x14ac:dyDescent="0.35">
      <c r="A19" s="149"/>
      <c r="B19" s="134"/>
      <c r="C19" s="153"/>
      <c r="D19" s="153"/>
      <c r="E19" s="153"/>
      <c r="F19" s="153"/>
      <c r="G19" s="134"/>
      <c r="H19" s="150"/>
      <c r="I19" s="151"/>
      <c r="J19" s="152"/>
      <c r="K19" s="151"/>
      <c r="L19" s="150"/>
      <c r="M19" s="151"/>
      <c r="N19" s="150"/>
      <c r="O19" s="120"/>
      <c r="P19" s="270"/>
      <c r="Q19" s="142"/>
      <c r="R19" s="143"/>
      <c r="S19" s="143"/>
      <c r="T19" s="144"/>
      <c r="U19" s="143"/>
      <c r="V19" s="143"/>
      <c r="W19" s="143"/>
      <c r="X19" s="145"/>
      <c r="Y19" s="146"/>
      <c r="Z19" s="144"/>
      <c r="AA19" s="146"/>
      <c r="AB19" s="144"/>
      <c r="AC19" s="146"/>
      <c r="AD19" s="143"/>
      <c r="AE19" s="147"/>
      <c r="AF19" s="147"/>
      <c r="AG19" s="148"/>
      <c r="AH19" s="148"/>
      <c r="AI19" s="147"/>
      <c r="AJ19" s="147"/>
    </row>
    <row r="20" spans="1:36" ht="151.5" hidden="1" customHeight="1" outlineLevel="1" x14ac:dyDescent="0.35">
      <c r="A20" s="149"/>
      <c r="B20" s="134"/>
      <c r="C20" s="134"/>
      <c r="D20" s="134"/>
      <c r="E20" s="134"/>
      <c r="F20" s="134"/>
      <c r="G20" s="134"/>
      <c r="H20" s="150"/>
      <c r="I20" s="151"/>
      <c r="J20" s="152"/>
      <c r="K20" s="151"/>
      <c r="L20" s="150"/>
      <c r="M20" s="151"/>
      <c r="N20" s="150"/>
      <c r="O20" s="120"/>
      <c r="P20" s="154"/>
      <c r="Q20" s="142"/>
      <c r="R20" s="143"/>
      <c r="S20" s="143"/>
      <c r="T20" s="144"/>
      <c r="U20" s="143"/>
      <c r="V20" s="143"/>
      <c r="W20" s="143"/>
      <c r="X20" s="145"/>
      <c r="Y20" s="146"/>
      <c r="Z20" s="144"/>
      <c r="AA20" s="146"/>
      <c r="AB20" s="144"/>
      <c r="AC20" s="146"/>
      <c r="AD20" s="143"/>
      <c r="AE20" s="147"/>
      <c r="AF20" s="147"/>
      <c r="AG20" s="148"/>
      <c r="AH20" s="148"/>
      <c r="AI20" s="147"/>
      <c r="AJ20" s="147"/>
    </row>
    <row r="21" spans="1:36" ht="13.5" hidden="1" customHeight="1" outlineLevel="1" x14ac:dyDescent="0.35">
      <c r="A21" s="149"/>
      <c r="B21" s="134"/>
      <c r="C21" s="153"/>
      <c r="D21" s="153"/>
      <c r="E21" s="153"/>
      <c r="F21" s="153"/>
      <c r="G21" s="134"/>
      <c r="H21" s="150"/>
      <c r="I21" s="151"/>
      <c r="J21" s="152"/>
      <c r="K21" s="151"/>
      <c r="L21" s="150"/>
      <c r="M21" s="151"/>
      <c r="N21" s="150"/>
      <c r="O21" s="120"/>
      <c r="P21" s="154"/>
      <c r="Q21" s="142"/>
      <c r="R21" s="143"/>
      <c r="S21" s="143"/>
      <c r="T21" s="144"/>
      <c r="U21" s="143"/>
      <c r="V21" s="143"/>
      <c r="W21" s="143"/>
      <c r="X21" s="145"/>
      <c r="Y21" s="146"/>
      <c r="Z21" s="144"/>
      <c r="AA21" s="146"/>
      <c r="AB21" s="144"/>
      <c r="AC21" s="146"/>
      <c r="AD21" s="143"/>
      <c r="AE21" s="147"/>
      <c r="AF21" s="147"/>
      <c r="AG21" s="148"/>
      <c r="AH21" s="148"/>
      <c r="AI21" s="147"/>
      <c r="AJ21" s="147"/>
    </row>
    <row r="22" spans="1:36" ht="309.75" hidden="1" customHeight="1" collapsed="1" x14ac:dyDescent="0.35">
      <c r="A22" s="120"/>
      <c r="B22" s="121"/>
      <c r="C22" s="122"/>
      <c r="D22" s="122"/>
      <c r="E22" s="123"/>
      <c r="F22" s="121"/>
      <c r="G22" s="121"/>
      <c r="H22" s="124"/>
      <c r="I22" s="125"/>
      <c r="J22" s="126"/>
      <c r="K22" s="278"/>
      <c r="L22" s="124"/>
      <c r="M22" s="125"/>
      <c r="N22" s="124"/>
      <c r="O22" s="120"/>
      <c r="P22" s="122"/>
      <c r="Q22" s="127"/>
      <c r="R22" s="128"/>
      <c r="S22" s="128"/>
      <c r="T22" s="125"/>
      <c r="U22" s="128"/>
      <c r="V22" s="128"/>
      <c r="W22" s="128"/>
      <c r="X22" s="129"/>
      <c r="Y22" s="124"/>
      <c r="Z22" s="125"/>
      <c r="AA22" s="124"/>
      <c r="AB22" s="125"/>
      <c r="AC22" s="124"/>
      <c r="AD22" s="128"/>
      <c r="AE22" s="130"/>
      <c r="AF22" s="277"/>
      <c r="AG22" s="268"/>
      <c r="AH22" s="268"/>
      <c r="AI22" s="270"/>
      <c r="AJ22" s="121"/>
    </row>
    <row r="23" spans="1:36" ht="151.5" hidden="1" customHeight="1" outlineLevel="1" x14ac:dyDescent="0.35">
      <c r="A23" s="120"/>
      <c r="B23" s="147"/>
      <c r="C23" s="155"/>
      <c r="D23" s="156"/>
      <c r="E23" s="156"/>
      <c r="F23" s="147"/>
      <c r="G23" s="147"/>
      <c r="H23" s="146"/>
      <c r="I23" s="144"/>
      <c r="J23" s="157"/>
      <c r="K23" s="278"/>
      <c r="L23" s="146"/>
      <c r="M23" s="144"/>
      <c r="N23" s="146"/>
      <c r="O23" s="140"/>
      <c r="P23" s="156"/>
      <c r="Q23" s="142"/>
      <c r="R23" s="143"/>
      <c r="S23" s="143"/>
      <c r="T23" s="144"/>
      <c r="U23" s="143"/>
      <c r="V23" s="143"/>
      <c r="W23" s="143"/>
      <c r="X23" s="158"/>
      <c r="Y23" s="146"/>
      <c r="Z23" s="144"/>
      <c r="AA23" s="146"/>
      <c r="AB23" s="144"/>
      <c r="AC23" s="146"/>
      <c r="AD23" s="143"/>
      <c r="AE23" s="156"/>
      <c r="AF23" s="277"/>
      <c r="AG23" s="268"/>
      <c r="AH23" s="269"/>
      <c r="AI23" s="270"/>
      <c r="AJ23" s="147"/>
    </row>
    <row r="24" spans="1:36" ht="151.5" hidden="1" customHeight="1" outlineLevel="1" x14ac:dyDescent="0.35">
      <c r="A24" s="120"/>
      <c r="B24" s="147"/>
      <c r="C24" s="147"/>
      <c r="D24" s="147"/>
      <c r="E24" s="159"/>
      <c r="F24" s="147"/>
      <c r="G24" s="147"/>
      <c r="H24" s="146"/>
      <c r="I24" s="144"/>
      <c r="J24" s="157"/>
      <c r="K24" s="278"/>
      <c r="L24" s="146"/>
      <c r="M24" s="144"/>
      <c r="N24" s="146"/>
      <c r="O24" s="140"/>
      <c r="P24" s="147"/>
      <c r="Q24" s="142"/>
      <c r="R24" s="143"/>
      <c r="S24" s="143"/>
      <c r="T24" s="144"/>
      <c r="U24" s="143"/>
      <c r="V24" s="143"/>
      <c r="W24" s="143"/>
      <c r="X24" s="145"/>
      <c r="Y24" s="146"/>
      <c r="Z24" s="144"/>
      <c r="AA24" s="146"/>
      <c r="AB24" s="144"/>
      <c r="AC24" s="146"/>
      <c r="AD24" s="143"/>
      <c r="AE24" s="147"/>
      <c r="AF24" s="147"/>
      <c r="AG24" s="148"/>
      <c r="AH24" s="148"/>
      <c r="AI24" s="147"/>
      <c r="AJ24" s="147"/>
    </row>
    <row r="25" spans="1:36" ht="151.5" hidden="1" customHeight="1" outlineLevel="1" x14ac:dyDescent="0.35">
      <c r="A25" s="120"/>
      <c r="B25" s="147"/>
      <c r="C25" s="147"/>
      <c r="D25" s="147"/>
      <c r="E25" s="159"/>
      <c r="F25" s="147"/>
      <c r="G25" s="147"/>
      <c r="H25" s="146"/>
      <c r="I25" s="144"/>
      <c r="J25" s="157"/>
      <c r="K25" s="278"/>
      <c r="L25" s="146"/>
      <c r="M25" s="144"/>
      <c r="N25" s="146"/>
      <c r="O25" s="140"/>
      <c r="P25" s="147"/>
      <c r="Q25" s="142"/>
      <c r="R25" s="143"/>
      <c r="S25" s="143"/>
      <c r="T25" s="144"/>
      <c r="U25" s="143"/>
      <c r="V25" s="143"/>
      <c r="W25" s="143"/>
      <c r="X25" s="145"/>
      <c r="Y25" s="146"/>
      <c r="Z25" s="144"/>
      <c r="AA25" s="146"/>
      <c r="AB25" s="144"/>
      <c r="AC25" s="146"/>
      <c r="AD25" s="143"/>
      <c r="AE25" s="147"/>
      <c r="AF25" s="147"/>
      <c r="AG25" s="148"/>
      <c r="AH25" s="148"/>
      <c r="AI25" s="147"/>
      <c r="AJ25" s="147"/>
    </row>
    <row r="26" spans="1:36" ht="151.5" hidden="1" customHeight="1" outlineLevel="1" x14ac:dyDescent="0.35">
      <c r="A26" s="120"/>
      <c r="B26" s="147"/>
      <c r="C26" s="147"/>
      <c r="D26" s="147"/>
      <c r="E26" s="159"/>
      <c r="F26" s="147"/>
      <c r="G26" s="147"/>
      <c r="H26" s="146"/>
      <c r="I26" s="144"/>
      <c r="J26" s="157"/>
      <c r="K26" s="278"/>
      <c r="L26" s="146"/>
      <c r="M26" s="144"/>
      <c r="N26" s="146"/>
      <c r="O26" s="140"/>
      <c r="P26" s="147"/>
      <c r="Q26" s="142"/>
      <c r="R26" s="143"/>
      <c r="S26" s="143"/>
      <c r="T26" s="144"/>
      <c r="U26" s="143"/>
      <c r="V26" s="143"/>
      <c r="W26" s="143"/>
      <c r="X26" s="145"/>
      <c r="Y26" s="146"/>
      <c r="Z26" s="144"/>
      <c r="AA26" s="146"/>
      <c r="AB26" s="144"/>
      <c r="AC26" s="146"/>
      <c r="AD26" s="143"/>
      <c r="AE26" s="147"/>
      <c r="AF26" s="147"/>
      <c r="AG26" s="148"/>
      <c r="AH26" s="148"/>
      <c r="AI26" s="147"/>
      <c r="AJ26" s="147"/>
    </row>
    <row r="27" spans="1:36" ht="151.5" hidden="1" customHeight="1" outlineLevel="1" x14ac:dyDescent="0.35">
      <c r="A27" s="120"/>
      <c r="B27" s="147"/>
      <c r="C27" s="147"/>
      <c r="D27" s="147"/>
      <c r="E27" s="159"/>
      <c r="F27" s="147"/>
      <c r="G27" s="147"/>
      <c r="H27" s="146"/>
      <c r="I27" s="144"/>
      <c r="J27" s="157"/>
      <c r="K27" s="278"/>
      <c r="L27" s="146"/>
      <c r="M27" s="144"/>
      <c r="N27" s="146"/>
      <c r="O27" s="140"/>
      <c r="P27" s="147"/>
      <c r="Q27" s="142"/>
      <c r="R27" s="143"/>
      <c r="S27" s="143"/>
      <c r="T27" s="144"/>
      <c r="U27" s="143"/>
      <c r="V27" s="143"/>
      <c r="W27" s="143"/>
      <c r="X27" s="145"/>
      <c r="Y27" s="146"/>
      <c r="Z27" s="144"/>
      <c r="AA27" s="146"/>
      <c r="AB27" s="144"/>
      <c r="AC27" s="146"/>
      <c r="AD27" s="143"/>
      <c r="AE27" s="147"/>
      <c r="AF27" s="147"/>
      <c r="AG27" s="148"/>
      <c r="AH27" s="148"/>
      <c r="AI27" s="147"/>
      <c r="AJ27" s="147"/>
    </row>
    <row r="28" spans="1:36" ht="318.75" hidden="1" customHeight="1" collapsed="1" x14ac:dyDescent="0.35">
      <c r="A28" s="120"/>
      <c r="B28" s="121"/>
      <c r="C28" s="123"/>
      <c r="D28" s="123"/>
      <c r="E28" s="123"/>
      <c r="F28" s="121"/>
      <c r="G28" s="121"/>
      <c r="H28" s="124"/>
      <c r="I28" s="125"/>
      <c r="J28" s="126"/>
      <c r="K28" s="278"/>
      <c r="L28" s="124"/>
      <c r="M28" s="125"/>
      <c r="N28" s="124"/>
      <c r="O28" s="120"/>
      <c r="P28" s="122"/>
      <c r="Q28" s="127"/>
      <c r="R28" s="128"/>
      <c r="S28" s="128"/>
      <c r="T28" s="125"/>
      <c r="U28" s="128"/>
      <c r="V28" s="128"/>
      <c r="W28" s="128"/>
      <c r="X28" s="129"/>
      <c r="Y28" s="124"/>
      <c r="Z28" s="125"/>
      <c r="AA28" s="124"/>
      <c r="AB28" s="125"/>
      <c r="AC28" s="124"/>
      <c r="AD28" s="128"/>
      <c r="AE28" s="130"/>
      <c r="AF28" s="122"/>
      <c r="AG28" s="268"/>
      <c r="AH28" s="268"/>
      <c r="AI28" s="270"/>
      <c r="AJ28" s="121"/>
    </row>
    <row r="29" spans="1:36" ht="151.5" hidden="1" customHeight="1" outlineLevel="1" x14ac:dyDescent="0.35">
      <c r="A29" s="140"/>
      <c r="B29" s="147"/>
      <c r="C29" s="156"/>
      <c r="D29" s="156"/>
      <c r="E29" s="156"/>
      <c r="F29" s="147"/>
      <c r="G29" s="147"/>
      <c r="H29" s="146"/>
      <c r="I29" s="144"/>
      <c r="J29" s="157"/>
      <c r="K29" s="278"/>
      <c r="L29" s="146"/>
      <c r="M29" s="144"/>
      <c r="N29" s="146"/>
      <c r="O29" s="140"/>
      <c r="P29" s="156"/>
      <c r="Q29" s="142"/>
      <c r="R29" s="143"/>
      <c r="S29" s="143"/>
      <c r="T29" s="144"/>
      <c r="U29" s="143"/>
      <c r="V29" s="143"/>
      <c r="W29" s="143"/>
      <c r="X29" s="145"/>
      <c r="Y29" s="146"/>
      <c r="Z29" s="144"/>
      <c r="AA29" s="146"/>
      <c r="AB29" s="144"/>
      <c r="AC29" s="146"/>
      <c r="AD29" s="143"/>
      <c r="AE29" s="160"/>
      <c r="AF29" s="160"/>
      <c r="AG29" s="268"/>
      <c r="AH29" s="269"/>
      <c r="AI29" s="270"/>
      <c r="AJ29" s="147"/>
    </row>
    <row r="30" spans="1:36" ht="151.5" hidden="1" customHeight="1" outlineLevel="1" x14ac:dyDescent="0.35">
      <c r="A30" s="140"/>
      <c r="B30" s="147"/>
      <c r="C30" s="147"/>
      <c r="D30" s="147"/>
      <c r="E30" s="159"/>
      <c r="F30" s="147"/>
      <c r="G30" s="147"/>
      <c r="H30" s="146"/>
      <c r="I30" s="144"/>
      <c r="J30" s="157"/>
      <c r="K30" s="278"/>
      <c r="L30" s="146"/>
      <c r="M30" s="144"/>
      <c r="N30" s="146"/>
      <c r="O30" s="140"/>
      <c r="P30" s="147"/>
      <c r="Q30" s="142"/>
      <c r="R30" s="143"/>
      <c r="S30" s="143"/>
      <c r="T30" s="144"/>
      <c r="U30" s="143"/>
      <c r="V30" s="143"/>
      <c r="W30" s="143"/>
      <c r="X30" s="145"/>
      <c r="Y30" s="146"/>
      <c r="Z30" s="144"/>
      <c r="AA30" s="146"/>
      <c r="AB30" s="144"/>
      <c r="AC30" s="146"/>
      <c r="AD30" s="143"/>
      <c r="AE30" s="147"/>
      <c r="AF30" s="147"/>
      <c r="AG30" s="148"/>
      <c r="AH30" s="148"/>
      <c r="AI30" s="147"/>
      <c r="AJ30" s="147"/>
    </row>
    <row r="31" spans="1:36" ht="151.5" hidden="1" customHeight="1" outlineLevel="1" x14ac:dyDescent="0.35">
      <c r="A31" s="140"/>
      <c r="B31" s="147"/>
      <c r="C31" s="147"/>
      <c r="D31" s="147"/>
      <c r="E31" s="159"/>
      <c r="F31" s="147"/>
      <c r="G31" s="147"/>
      <c r="H31" s="146"/>
      <c r="I31" s="144"/>
      <c r="J31" s="157"/>
      <c r="K31" s="278"/>
      <c r="L31" s="146"/>
      <c r="M31" s="144"/>
      <c r="N31" s="146"/>
      <c r="O31" s="140"/>
      <c r="P31" s="147"/>
      <c r="Q31" s="142"/>
      <c r="R31" s="143"/>
      <c r="S31" s="143"/>
      <c r="T31" s="144"/>
      <c r="U31" s="143"/>
      <c r="V31" s="143"/>
      <c r="W31" s="143"/>
      <c r="X31" s="145"/>
      <c r="Y31" s="146"/>
      <c r="Z31" s="144"/>
      <c r="AA31" s="146"/>
      <c r="AB31" s="144"/>
      <c r="AC31" s="146"/>
      <c r="AD31" s="143"/>
      <c r="AE31" s="147"/>
      <c r="AF31" s="147"/>
      <c r="AG31" s="148"/>
      <c r="AH31" s="148"/>
      <c r="AI31" s="147"/>
      <c r="AJ31" s="147"/>
    </row>
    <row r="32" spans="1:36" ht="151.5" hidden="1" customHeight="1" outlineLevel="1" x14ac:dyDescent="0.35">
      <c r="A32" s="140"/>
      <c r="B32" s="147"/>
      <c r="C32" s="147"/>
      <c r="D32" s="147"/>
      <c r="E32" s="159"/>
      <c r="F32" s="147"/>
      <c r="G32" s="147"/>
      <c r="H32" s="146"/>
      <c r="I32" s="144"/>
      <c r="J32" s="157"/>
      <c r="K32" s="278"/>
      <c r="L32" s="146"/>
      <c r="M32" s="144"/>
      <c r="N32" s="146"/>
      <c r="O32" s="140"/>
      <c r="P32" s="147"/>
      <c r="Q32" s="142"/>
      <c r="R32" s="143"/>
      <c r="S32" s="143"/>
      <c r="T32" s="144"/>
      <c r="U32" s="143"/>
      <c r="V32" s="143"/>
      <c r="W32" s="143"/>
      <c r="X32" s="158"/>
      <c r="Y32" s="146"/>
      <c r="Z32" s="144"/>
      <c r="AA32" s="146"/>
      <c r="AB32" s="144"/>
      <c r="AC32" s="146"/>
      <c r="AD32" s="143"/>
      <c r="AE32" s="147"/>
      <c r="AF32" s="147"/>
      <c r="AG32" s="148"/>
      <c r="AH32" s="148"/>
      <c r="AI32" s="147"/>
      <c r="AJ32" s="147"/>
    </row>
    <row r="33" spans="1:36" ht="151.5" hidden="1" customHeight="1" outlineLevel="1" x14ac:dyDescent="0.35">
      <c r="A33" s="140"/>
      <c r="B33" s="147"/>
      <c r="C33" s="147"/>
      <c r="D33" s="147"/>
      <c r="E33" s="159"/>
      <c r="F33" s="147"/>
      <c r="G33" s="147"/>
      <c r="H33" s="146"/>
      <c r="I33" s="144"/>
      <c r="J33" s="157"/>
      <c r="K33" s="278"/>
      <c r="L33" s="146"/>
      <c r="M33" s="144"/>
      <c r="N33" s="146"/>
      <c r="O33" s="140"/>
      <c r="P33" s="147"/>
      <c r="Q33" s="142"/>
      <c r="R33" s="143"/>
      <c r="S33" s="143"/>
      <c r="T33" s="144"/>
      <c r="U33" s="143"/>
      <c r="V33" s="143"/>
      <c r="W33" s="143"/>
      <c r="X33" s="145"/>
      <c r="Y33" s="146"/>
      <c r="Z33" s="144"/>
      <c r="AA33" s="146"/>
      <c r="AB33" s="144"/>
      <c r="AC33" s="146"/>
      <c r="AD33" s="143"/>
      <c r="AE33" s="147"/>
      <c r="AF33" s="147"/>
      <c r="AG33" s="148"/>
      <c r="AH33" s="148"/>
      <c r="AI33" s="147"/>
      <c r="AJ33" s="147"/>
    </row>
    <row r="34" spans="1:36" ht="298.5" hidden="1" customHeight="1" collapsed="1" x14ac:dyDescent="0.35">
      <c r="A34" s="120"/>
      <c r="B34" s="121"/>
      <c r="C34" s="122"/>
      <c r="D34" s="123"/>
      <c r="E34" s="161"/>
      <c r="F34" s="121"/>
      <c r="G34" s="121"/>
      <c r="H34" s="124"/>
      <c r="I34" s="125"/>
      <c r="J34" s="126"/>
      <c r="K34" s="278"/>
      <c r="L34" s="124"/>
      <c r="M34" s="125"/>
      <c r="N34" s="124"/>
      <c r="O34" s="120"/>
      <c r="P34" s="122"/>
      <c r="Q34" s="127"/>
      <c r="R34" s="128"/>
      <c r="S34" s="128"/>
      <c r="T34" s="125"/>
      <c r="U34" s="128"/>
      <c r="V34" s="128"/>
      <c r="W34" s="128"/>
      <c r="X34" s="129"/>
      <c r="Y34" s="124"/>
      <c r="Z34" s="125"/>
      <c r="AA34" s="124"/>
      <c r="AB34" s="125"/>
      <c r="AC34" s="124"/>
      <c r="AD34" s="128"/>
      <c r="AE34" s="130"/>
      <c r="AF34" s="122"/>
      <c r="AG34" s="268"/>
      <c r="AH34" s="268"/>
      <c r="AI34" s="270"/>
      <c r="AJ34" s="121"/>
    </row>
    <row r="35" spans="1:36" ht="151.5" hidden="1" customHeight="1" outlineLevel="1" x14ac:dyDescent="0.35">
      <c r="A35" s="120"/>
      <c r="B35" s="121"/>
      <c r="C35" s="156"/>
      <c r="D35" s="156"/>
      <c r="E35" s="156"/>
      <c r="F35" s="147"/>
      <c r="G35" s="147"/>
      <c r="H35" s="146"/>
      <c r="I35" s="144"/>
      <c r="J35" s="157"/>
      <c r="K35" s="278"/>
      <c r="L35" s="146"/>
      <c r="M35" s="144"/>
      <c r="N35" s="146"/>
      <c r="O35" s="140"/>
      <c r="P35" s="156"/>
      <c r="Q35" s="142"/>
      <c r="R35" s="143"/>
      <c r="S35" s="143"/>
      <c r="T35" s="144"/>
      <c r="U35" s="143"/>
      <c r="V35" s="143"/>
      <c r="W35" s="143"/>
      <c r="X35" s="145"/>
      <c r="Y35" s="146"/>
      <c r="Z35" s="144"/>
      <c r="AA35" s="146"/>
      <c r="AB35" s="144"/>
      <c r="AC35" s="146"/>
      <c r="AD35" s="143"/>
      <c r="AE35" s="160"/>
      <c r="AF35" s="160"/>
      <c r="AG35" s="268"/>
      <c r="AH35" s="269"/>
      <c r="AI35" s="270"/>
      <c r="AJ35" s="147"/>
    </row>
    <row r="36" spans="1:36" ht="151.5" hidden="1" customHeight="1" outlineLevel="1" x14ac:dyDescent="0.35">
      <c r="A36" s="120"/>
      <c r="B36" s="121"/>
      <c r="C36" s="147"/>
      <c r="D36" s="147"/>
      <c r="E36" s="159"/>
      <c r="F36" s="147"/>
      <c r="G36" s="147"/>
      <c r="H36" s="146"/>
      <c r="I36" s="144"/>
      <c r="J36" s="157"/>
      <c r="K36" s="278"/>
      <c r="L36" s="146"/>
      <c r="M36" s="144"/>
      <c r="N36" s="146"/>
      <c r="O36" s="140"/>
      <c r="P36" s="147"/>
      <c r="Q36" s="142"/>
      <c r="R36" s="143"/>
      <c r="S36" s="143"/>
      <c r="T36" s="144"/>
      <c r="U36" s="143"/>
      <c r="V36" s="143"/>
      <c r="W36" s="143"/>
      <c r="X36" s="145"/>
      <c r="Y36" s="146"/>
      <c r="Z36" s="144"/>
      <c r="AA36" s="146"/>
      <c r="AB36" s="144"/>
      <c r="AC36" s="146"/>
      <c r="AD36" s="143"/>
      <c r="AE36" s="147"/>
      <c r="AF36" s="147"/>
      <c r="AG36" s="148"/>
      <c r="AH36" s="148"/>
      <c r="AI36" s="147"/>
      <c r="AJ36" s="147"/>
    </row>
    <row r="37" spans="1:36" ht="151.5" hidden="1" customHeight="1" outlineLevel="1" x14ac:dyDescent="0.35">
      <c r="A37" s="120"/>
      <c r="B37" s="121"/>
      <c r="C37" s="147"/>
      <c r="D37" s="147"/>
      <c r="E37" s="159"/>
      <c r="F37" s="147"/>
      <c r="G37" s="147"/>
      <c r="H37" s="146"/>
      <c r="I37" s="144"/>
      <c r="J37" s="157"/>
      <c r="K37" s="278"/>
      <c r="L37" s="146"/>
      <c r="M37" s="144"/>
      <c r="N37" s="146"/>
      <c r="O37" s="140"/>
      <c r="P37" s="147"/>
      <c r="Q37" s="142"/>
      <c r="R37" s="143"/>
      <c r="S37" s="143"/>
      <c r="T37" s="144"/>
      <c r="U37" s="143"/>
      <c r="V37" s="143"/>
      <c r="W37" s="143"/>
      <c r="X37" s="145"/>
      <c r="Y37" s="146"/>
      <c r="Z37" s="144"/>
      <c r="AA37" s="146"/>
      <c r="AB37" s="144"/>
      <c r="AC37" s="146"/>
      <c r="AD37" s="143"/>
      <c r="AE37" s="147"/>
      <c r="AF37" s="147"/>
      <c r="AG37" s="148"/>
      <c r="AH37" s="148"/>
      <c r="AI37" s="147"/>
      <c r="AJ37" s="147"/>
    </row>
    <row r="38" spans="1:36" ht="151.5" hidden="1" customHeight="1" outlineLevel="1" x14ac:dyDescent="0.35">
      <c r="A38" s="120"/>
      <c r="B38" s="121"/>
      <c r="C38" s="147"/>
      <c r="D38" s="147"/>
      <c r="E38" s="159"/>
      <c r="F38" s="147"/>
      <c r="G38" s="147"/>
      <c r="H38" s="146"/>
      <c r="I38" s="144"/>
      <c r="J38" s="157"/>
      <c r="K38" s="278"/>
      <c r="L38" s="146"/>
      <c r="M38" s="144"/>
      <c r="N38" s="146"/>
      <c r="O38" s="140"/>
      <c r="P38" s="147"/>
      <c r="Q38" s="142"/>
      <c r="R38" s="143"/>
      <c r="S38" s="143"/>
      <c r="T38" s="144"/>
      <c r="U38" s="143"/>
      <c r="V38" s="143"/>
      <c r="W38" s="143"/>
      <c r="X38" s="145"/>
      <c r="Y38" s="146"/>
      <c r="Z38" s="144"/>
      <c r="AA38" s="146"/>
      <c r="AB38" s="144"/>
      <c r="AC38" s="146"/>
      <c r="AD38" s="143"/>
      <c r="AE38" s="147"/>
      <c r="AF38" s="147"/>
      <c r="AG38" s="148"/>
      <c r="AH38" s="148"/>
      <c r="AI38" s="147"/>
      <c r="AJ38" s="147"/>
    </row>
    <row r="39" spans="1:36" ht="151.5" hidden="1" customHeight="1" outlineLevel="1" x14ac:dyDescent="0.35">
      <c r="A39" s="120"/>
      <c r="B39" s="121"/>
      <c r="C39" s="147"/>
      <c r="D39" s="147"/>
      <c r="E39" s="159"/>
      <c r="F39" s="147"/>
      <c r="G39" s="147"/>
      <c r="H39" s="146"/>
      <c r="I39" s="144"/>
      <c r="J39" s="157"/>
      <c r="K39" s="278"/>
      <c r="L39" s="146"/>
      <c r="M39" s="144"/>
      <c r="N39" s="146"/>
      <c r="O39" s="140"/>
      <c r="P39" s="147"/>
      <c r="Q39" s="142"/>
      <c r="R39" s="143"/>
      <c r="S39" s="143"/>
      <c r="T39" s="144"/>
      <c r="U39" s="143"/>
      <c r="V39" s="143"/>
      <c r="W39" s="143"/>
      <c r="X39" s="145"/>
      <c r="Y39" s="146"/>
      <c r="Z39" s="144"/>
      <c r="AA39" s="146"/>
      <c r="AB39" s="144"/>
      <c r="AC39" s="146"/>
      <c r="AD39" s="143"/>
      <c r="AE39" s="147"/>
      <c r="AF39" s="147"/>
      <c r="AG39" s="148"/>
      <c r="AH39" s="148"/>
      <c r="AI39" s="147"/>
      <c r="AJ39" s="147"/>
    </row>
    <row r="40" spans="1:36" ht="331.5" hidden="1" customHeight="1" collapsed="1" x14ac:dyDescent="0.35">
      <c r="A40" s="120"/>
      <c r="B40" s="121"/>
      <c r="C40" s="162"/>
      <c r="D40" s="163"/>
      <c r="E40" s="161"/>
      <c r="F40" s="121"/>
      <c r="G40" s="121"/>
      <c r="H40" s="124"/>
      <c r="I40" s="125"/>
      <c r="J40" s="126"/>
      <c r="K40" s="278"/>
      <c r="L40" s="124"/>
      <c r="M40" s="125"/>
      <c r="N40" s="124"/>
      <c r="O40" s="120"/>
      <c r="P40" s="122"/>
      <c r="Q40" s="127"/>
      <c r="R40" s="128"/>
      <c r="S40" s="128"/>
      <c r="T40" s="125"/>
      <c r="U40" s="128"/>
      <c r="V40" s="128"/>
      <c r="W40" s="128"/>
      <c r="X40" s="129"/>
      <c r="Y40" s="124"/>
      <c r="Z40" s="125"/>
      <c r="AA40" s="124"/>
      <c r="AB40" s="125"/>
      <c r="AC40" s="124"/>
      <c r="AD40" s="128"/>
      <c r="AE40" s="130"/>
      <c r="AF40" s="122"/>
      <c r="AG40" s="268"/>
      <c r="AH40" s="268"/>
      <c r="AI40" s="270"/>
      <c r="AJ40" s="121"/>
    </row>
    <row r="41" spans="1:36" ht="151.5" hidden="1" customHeight="1" outlineLevel="1" x14ac:dyDescent="0.35">
      <c r="A41" s="149"/>
      <c r="B41" s="136"/>
      <c r="C41" s="136"/>
      <c r="D41" s="136"/>
      <c r="E41" s="164"/>
      <c r="F41" s="136"/>
      <c r="G41" s="136"/>
      <c r="H41" s="165"/>
      <c r="I41" s="138"/>
      <c r="J41" s="139"/>
      <c r="K41" s="278"/>
      <c r="L41" s="165"/>
      <c r="M41" s="138"/>
      <c r="N41" s="165"/>
      <c r="O41" s="140"/>
      <c r="P41" s="141"/>
      <c r="Q41" s="142"/>
      <c r="R41" s="143"/>
      <c r="S41" s="143"/>
      <c r="T41" s="144"/>
      <c r="U41" s="143"/>
      <c r="V41" s="143"/>
      <c r="W41" s="143"/>
      <c r="X41" s="145"/>
      <c r="Y41" s="146"/>
      <c r="Z41" s="144"/>
      <c r="AA41" s="146"/>
      <c r="AB41" s="144"/>
      <c r="AC41" s="146"/>
      <c r="AD41" s="143"/>
      <c r="AE41" s="147"/>
      <c r="AF41" s="147"/>
      <c r="AG41" s="268"/>
      <c r="AH41" s="269"/>
      <c r="AI41" s="270"/>
      <c r="AJ41" s="147"/>
    </row>
    <row r="42" spans="1:36" ht="151.5" hidden="1" customHeight="1" outlineLevel="1" x14ac:dyDescent="0.35">
      <c r="A42" s="149"/>
      <c r="B42" s="136"/>
      <c r="C42" s="136"/>
      <c r="D42" s="136"/>
      <c r="E42" s="164"/>
      <c r="F42" s="136"/>
      <c r="G42" s="136"/>
      <c r="H42" s="165"/>
      <c r="I42" s="138"/>
      <c r="J42" s="139"/>
      <c r="K42" s="278"/>
      <c r="L42" s="165"/>
      <c r="M42" s="138"/>
      <c r="N42" s="165"/>
      <c r="O42" s="140"/>
      <c r="P42" s="141"/>
      <c r="Q42" s="142"/>
      <c r="R42" s="143"/>
      <c r="S42" s="143"/>
      <c r="T42" s="144"/>
      <c r="U42" s="143"/>
      <c r="V42" s="143"/>
      <c r="W42" s="143"/>
      <c r="X42" s="145"/>
      <c r="Y42" s="146"/>
      <c r="Z42" s="144"/>
      <c r="AA42" s="146"/>
      <c r="AB42" s="144"/>
      <c r="AC42" s="146"/>
      <c r="AD42" s="143"/>
      <c r="AE42" s="147"/>
      <c r="AF42" s="147"/>
      <c r="AG42" s="148"/>
      <c r="AH42" s="148"/>
      <c r="AI42" s="147"/>
      <c r="AJ42" s="147"/>
    </row>
    <row r="43" spans="1:36" ht="151.5" hidden="1" customHeight="1" outlineLevel="1" x14ac:dyDescent="0.35">
      <c r="A43" s="149"/>
      <c r="B43" s="136"/>
      <c r="C43" s="136"/>
      <c r="D43" s="136"/>
      <c r="E43" s="164"/>
      <c r="F43" s="136"/>
      <c r="G43" s="136"/>
      <c r="H43" s="165"/>
      <c r="I43" s="138"/>
      <c r="J43" s="139"/>
      <c r="K43" s="278"/>
      <c r="L43" s="165"/>
      <c r="M43" s="138"/>
      <c r="N43" s="165"/>
      <c r="O43" s="140"/>
      <c r="P43" s="141"/>
      <c r="Q43" s="142"/>
      <c r="R43" s="143"/>
      <c r="S43" s="143"/>
      <c r="T43" s="144"/>
      <c r="U43" s="143"/>
      <c r="V43" s="143"/>
      <c r="W43" s="143"/>
      <c r="X43" s="145"/>
      <c r="Y43" s="146"/>
      <c r="Z43" s="144"/>
      <c r="AA43" s="146"/>
      <c r="AB43" s="144"/>
      <c r="AC43" s="146"/>
      <c r="AD43" s="143"/>
      <c r="AE43" s="147"/>
      <c r="AF43" s="147"/>
      <c r="AG43" s="148"/>
      <c r="AH43" s="148"/>
      <c r="AI43" s="147"/>
      <c r="AJ43" s="147"/>
    </row>
    <row r="44" spans="1:36" ht="151.5" hidden="1" customHeight="1" outlineLevel="1" x14ac:dyDescent="0.35">
      <c r="A44" s="149"/>
      <c r="B44" s="136"/>
      <c r="C44" s="136"/>
      <c r="D44" s="136"/>
      <c r="E44" s="164"/>
      <c r="F44" s="136"/>
      <c r="G44" s="136"/>
      <c r="H44" s="165"/>
      <c r="I44" s="138"/>
      <c r="J44" s="139"/>
      <c r="K44" s="278"/>
      <c r="L44" s="165"/>
      <c r="M44" s="138"/>
      <c r="N44" s="165"/>
      <c r="O44" s="140"/>
      <c r="P44" s="141"/>
      <c r="Q44" s="142"/>
      <c r="R44" s="143"/>
      <c r="S44" s="143"/>
      <c r="T44" s="144"/>
      <c r="U44" s="143"/>
      <c r="V44" s="143"/>
      <c r="W44" s="143"/>
      <c r="X44" s="145"/>
      <c r="Y44" s="146"/>
      <c r="Z44" s="144"/>
      <c r="AA44" s="146"/>
      <c r="AB44" s="144"/>
      <c r="AC44" s="146"/>
      <c r="AD44" s="143"/>
      <c r="AE44" s="147"/>
      <c r="AF44" s="147"/>
      <c r="AG44" s="148"/>
      <c r="AH44" s="148"/>
      <c r="AI44" s="147"/>
      <c r="AJ44" s="147"/>
    </row>
    <row r="45" spans="1:36" ht="151.5" hidden="1" customHeight="1" outlineLevel="1" x14ac:dyDescent="0.35">
      <c r="A45" s="149"/>
      <c r="B45" s="136"/>
      <c r="C45" s="136"/>
      <c r="D45" s="136"/>
      <c r="E45" s="164"/>
      <c r="F45" s="136"/>
      <c r="G45" s="136"/>
      <c r="H45" s="165"/>
      <c r="I45" s="138"/>
      <c r="J45" s="139"/>
      <c r="K45" s="278"/>
      <c r="L45" s="165"/>
      <c r="M45" s="138"/>
      <c r="N45" s="165"/>
      <c r="O45" s="140"/>
      <c r="P45" s="141"/>
      <c r="Q45" s="142"/>
      <c r="R45" s="143"/>
      <c r="S45" s="143"/>
      <c r="T45" s="144"/>
      <c r="U45" s="143"/>
      <c r="V45" s="143"/>
      <c r="W45" s="143"/>
      <c r="X45" s="145"/>
      <c r="Y45" s="146"/>
      <c r="Z45" s="144"/>
      <c r="AA45" s="146"/>
      <c r="AB45" s="144"/>
      <c r="AC45" s="146"/>
      <c r="AD45" s="143"/>
      <c r="AE45" s="147"/>
      <c r="AF45" s="147"/>
      <c r="AG45" s="148"/>
      <c r="AH45" s="148"/>
      <c r="AI45" s="147"/>
      <c r="AJ45" s="147"/>
    </row>
    <row r="46" spans="1:36" ht="151.5" hidden="1" customHeight="1" collapsed="1" x14ac:dyDescent="0.35">
      <c r="A46" s="163"/>
      <c r="B46" s="122"/>
      <c r="C46" s="122"/>
      <c r="D46" s="122"/>
      <c r="E46" s="161"/>
      <c r="F46" s="122"/>
      <c r="G46" s="122"/>
      <c r="H46" s="166" t="str">
        <f>IF(G46&lt;=0,"",IF(G46&lt;=2,"Muy Baja",IF(G46&lt;=24,"Baja",IF(G46&lt;=500,"Media",IF(G46&lt;=5000,"Alta","Muy Alta")))))</f>
        <v/>
      </c>
      <c r="I46" s="167" t="str">
        <f>IF(H46="","",IF(H46="Muy Baja",0.2,IF(H46="Baja",0.4,IF(H46="Media",0.6,IF(H46="Alta",0.8,IF(H46="Muy Alta",1,))))))</f>
        <v/>
      </c>
      <c r="J46" s="168"/>
      <c r="K46" s="280">
        <f>IF(NOT(ISERROR(MATCH(J46,'Tabla Impacto'!$B$221:$B$223,0))),'Tabla Impacto'!$F$223&amp;"Por favor no seleccionar los criterios de impacto(Afectación Económica o presupuestal y Pérdida Reputacional)",J46)</f>
        <v>0</v>
      </c>
      <c r="L46" s="166" t="str">
        <f>IF(OR(K46='Tabla Impacto'!$C$11,K46='Tabla Impacto'!$D$11),"Leve",IF(OR(K46='Tabla Impacto'!$C$12,K46='Tabla Impacto'!$D$12),"Menor",IF(OR(K46='Tabla Impacto'!$C$13,K46='Tabla Impacto'!$D$13),"Moderado",IF(OR(K46='Tabla Impacto'!$C$14,K46='Tabla Impacto'!$D$14),"Mayor",IF(OR(K46='Tabla Impacto'!$C$15,K46='Tabla Impacto'!$D$15),"Catastrófico","")))))</f>
        <v/>
      </c>
      <c r="M46" s="167" t="str">
        <f>IF(L46="","",IF(L46="Leve",0.2,IF(L46="Menor",0.4,IF(L46="Moderado",0.6,IF(L46="Mayor",0.8,IF(L46="Catastrófico",1,))))))</f>
        <v/>
      </c>
      <c r="N46" s="16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63"/>
      <c r="P46" s="122"/>
      <c r="Q46" s="169" t="str">
        <f>IF(OR(R46="Preventivo",R46="Detectivo"),"Probabilidad",IF(R46="Correctivo","Impacto",""))</f>
        <v/>
      </c>
      <c r="R46" s="170"/>
      <c r="S46" s="170"/>
      <c r="T46" s="167" t="str">
        <f>IF(AND(R46="Preventivo",S46="Automático"),"50%",IF(AND(R46="Preventivo",S46="Manual"),"40%",IF(AND(R46="Detectivo",S46="Automático"),"40%",IF(AND(R46="Detectivo",S46="Manual"),"30%",IF(AND(R46="Correctivo",S46="Automático"),"35%",IF(AND(R46="Correctivo",S46="Manual"),"25%",""))))))</f>
        <v/>
      </c>
      <c r="U46" s="170"/>
      <c r="V46" s="170"/>
      <c r="W46" s="170"/>
      <c r="X46" s="171" t="str">
        <f>IFERROR(IF(Q46="Probabilidad",(I46-(+I46*T46)),IF(Q46="Impacto",I46,"")),"")</f>
        <v/>
      </c>
      <c r="Y46" s="172" t="str">
        <f>IFERROR(IF(X46="","",IF(X46&lt;=0.2,"Muy Baja",IF(X46&lt;=0.4,"Baja",IF(X46&lt;=0.6,"Media",IF(X46&lt;=0.8,"Alta","Muy Alta"))))),"")</f>
        <v/>
      </c>
      <c r="Z46" s="167" t="str">
        <f>+X46</f>
        <v/>
      </c>
      <c r="AA46" s="172" t="str">
        <f>IFERROR(IF(AB46="","",IF(AB46&lt;=0.2,"Leve",IF(AB46&lt;=0.4,"Menor",IF(AB46&lt;=0.6,"Moderado",IF(AB46&lt;=0.8,"Mayor","Catastrófico"))))),"")</f>
        <v/>
      </c>
      <c r="AB46" s="167" t="str">
        <f>IFERROR(IF(Q46="Impacto",(M46-(+M46*T46)),IF(Q46="Probabilidad",M46,"")),"")</f>
        <v/>
      </c>
      <c r="AC46" s="172"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70"/>
      <c r="AE46" s="122"/>
      <c r="AF46" s="122"/>
      <c r="AG46" s="173"/>
      <c r="AH46" s="173"/>
      <c r="AI46" s="122"/>
      <c r="AJ46" s="122"/>
    </row>
    <row r="47" spans="1:36" ht="151.5" hidden="1" customHeight="1" outlineLevel="1" x14ac:dyDescent="0.35">
      <c r="A47" s="174"/>
      <c r="B47" s="175"/>
      <c r="C47" s="175"/>
      <c r="D47" s="175"/>
      <c r="E47" s="176"/>
      <c r="F47" s="175"/>
      <c r="G47" s="175"/>
      <c r="H47" s="177"/>
      <c r="I47" s="178"/>
      <c r="J47" s="179"/>
      <c r="K47" s="280">
        <f t="shared" ref="K47:K51" si="8">IF(NOT(ISERROR(MATCH(J47,_xlfn.ANCHORARRAY(E58),0))),I60&amp;"Por favor no seleccionar los criterios de impacto",J47)</f>
        <v>0</v>
      </c>
      <c r="L47" s="177"/>
      <c r="M47" s="178"/>
      <c r="N47" s="177"/>
      <c r="O47" s="180">
        <v>2</v>
      </c>
      <c r="P47" s="181"/>
      <c r="Q47" s="182" t="str">
        <f>IF(OR(R47="Preventivo",R47="Detectivo"),"Probabilidad",IF(R47="Correctivo","Impacto",""))</f>
        <v/>
      </c>
      <c r="R47" s="183"/>
      <c r="S47" s="183"/>
      <c r="T47" s="184" t="str">
        <f t="shared" ref="T47:T51" si="9">IF(AND(R47="Preventivo",S47="Automático"),"50%",IF(AND(R47="Preventivo",S47="Manual"),"40%",IF(AND(R47="Detectivo",S47="Automático"),"40%",IF(AND(R47="Detectivo",S47="Manual"),"30%",IF(AND(R47="Correctivo",S47="Automático"),"35%",IF(AND(R47="Correctivo",S47="Manual"),"25%",""))))))</f>
        <v/>
      </c>
      <c r="U47" s="183"/>
      <c r="V47" s="183"/>
      <c r="W47" s="183"/>
      <c r="X47" s="185" t="str">
        <f>IFERROR(IF(AND(Q46="Probabilidad",Q47="Probabilidad"),(Z46-(+Z46*T47)),IF(Q47="Probabilidad",(I46-(+I46*T47)),IF(Q47="Impacto",Z46,""))),"")</f>
        <v/>
      </c>
      <c r="Y47" s="186" t="str">
        <f t="shared" si="1"/>
        <v/>
      </c>
      <c r="Z47" s="184" t="str">
        <f t="shared" ref="Z47:Z51" si="10">+X47</f>
        <v/>
      </c>
      <c r="AA47" s="186" t="str">
        <f t="shared" si="3"/>
        <v/>
      </c>
      <c r="AB47" s="184" t="str">
        <f>IFERROR(IF(AND(Q46="Impacto",Q47="Impacto"),(AB40-(+AB40*T47)),IF(Q47="Impacto",($M$46-(+$M$46*T47)),IF(Q47="Probabilidad",AB40,""))),"")</f>
        <v/>
      </c>
      <c r="AC47" s="186" t="str">
        <f t="shared" ref="AC47:AC48" si="11">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3"/>
      <c r="AE47" s="187"/>
      <c r="AF47" s="187"/>
      <c r="AG47" s="188"/>
      <c r="AH47" s="188"/>
      <c r="AI47" s="187"/>
      <c r="AJ47" s="187"/>
    </row>
    <row r="48" spans="1:36" ht="151.5" hidden="1" customHeight="1" outlineLevel="1" x14ac:dyDescent="0.35">
      <c r="A48" s="174"/>
      <c r="B48" s="175"/>
      <c r="C48" s="175"/>
      <c r="D48" s="175"/>
      <c r="E48" s="176"/>
      <c r="F48" s="175"/>
      <c r="G48" s="175"/>
      <c r="H48" s="177"/>
      <c r="I48" s="178"/>
      <c r="J48" s="179"/>
      <c r="K48" s="280">
        <f t="shared" si="8"/>
        <v>0</v>
      </c>
      <c r="L48" s="177"/>
      <c r="M48" s="178"/>
      <c r="N48" s="177"/>
      <c r="O48" s="180">
        <v>3</v>
      </c>
      <c r="P48" s="181"/>
      <c r="Q48" s="182" t="str">
        <f>IF(OR(R48="Preventivo",R48="Detectivo"),"Probabilidad",IF(R48="Correctivo","Impacto",""))</f>
        <v/>
      </c>
      <c r="R48" s="183"/>
      <c r="S48" s="183"/>
      <c r="T48" s="184" t="str">
        <f t="shared" si="9"/>
        <v/>
      </c>
      <c r="U48" s="183"/>
      <c r="V48" s="183"/>
      <c r="W48" s="183"/>
      <c r="X48" s="185" t="str">
        <f>IFERROR(IF(AND(Q47="Probabilidad",Q48="Probabilidad"),(Z47-(+Z47*T48)),IF(AND(Q47="Impacto",Q48="Probabilidad"),(Z46-(+Z46*T48)),IF(Q48="Impacto",Z47,""))),"")</f>
        <v/>
      </c>
      <c r="Y48" s="186" t="str">
        <f t="shared" si="1"/>
        <v/>
      </c>
      <c r="Z48" s="184" t="str">
        <f t="shared" si="10"/>
        <v/>
      </c>
      <c r="AA48" s="186" t="str">
        <f t="shared" si="3"/>
        <v/>
      </c>
      <c r="AB48" s="184" t="str">
        <f>IFERROR(IF(AND(Q47="Impacto",Q48="Impacto"),(AB47-(+AB47*T48)),IF(AND(Q47="Probabilidad",Q48="Impacto"),(AB46-(+AB46*T48)),IF(Q48="Probabilidad",AB47,""))),"")</f>
        <v/>
      </c>
      <c r="AC48" s="186" t="str">
        <f t="shared" si="11"/>
        <v/>
      </c>
      <c r="AD48" s="183"/>
      <c r="AE48" s="187"/>
      <c r="AF48" s="187"/>
      <c r="AG48" s="188"/>
      <c r="AH48" s="188"/>
      <c r="AI48" s="187"/>
      <c r="AJ48" s="187"/>
    </row>
    <row r="49" spans="1:36" ht="151.5" hidden="1" customHeight="1" outlineLevel="1" x14ac:dyDescent="0.35">
      <c r="A49" s="174"/>
      <c r="B49" s="175"/>
      <c r="C49" s="175"/>
      <c r="D49" s="175"/>
      <c r="E49" s="176"/>
      <c r="F49" s="175"/>
      <c r="G49" s="175"/>
      <c r="H49" s="177"/>
      <c r="I49" s="178"/>
      <c r="J49" s="179"/>
      <c r="K49" s="280">
        <f t="shared" si="8"/>
        <v>0</v>
      </c>
      <c r="L49" s="177"/>
      <c r="M49" s="178"/>
      <c r="N49" s="177"/>
      <c r="O49" s="180">
        <v>4</v>
      </c>
      <c r="P49" s="181"/>
      <c r="Q49" s="182" t="str">
        <f t="shared" ref="Q49:Q51" si="12">IF(OR(R49="Preventivo",R49="Detectivo"),"Probabilidad",IF(R49="Correctivo","Impacto",""))</f>
        <v/>
      </c>
      <c r="R49" s="183"/>
      <c r="S49" s="183"/>
      <c r="T49" s="184" t="str">
        <f t="shared" si="9"/>
        <v/>
      </c>
      <c r="U49" s="183"/>
      <c r="V49" s="183"/>
      <c r="W49" s="183"/>
      <c r="X49" s="185" t="str">
        <f t="shared" ref="X49:X51" si="13">IFERROR(IF(AND(Q48="Probabilidad",Q49="Probabilidad"),(Z48-(+Z48*T49)),IF(AND(Q48="Impacto",Q49="Probabilidad"),(Z47-(+Z47*T49)),IF(Q49="Impacto",Z48,""))),"")</f>
        <v/>
      </c>
      <c r="Y49" s="186" t="str">
        <f t="shared" si="1"/>
        <v/>
      </c>
      <c r="Z49" s="184" t="str">
        <f t="shared" si="10"/>
        <v/>
      </c>
      <c r="AA49" s="186" t="str">
        <f t="shared" si="3"/>
        <v/>
      </c>
      <c r="AB49" s="184" t="str">
        <f t="shared" ref="AB49:AB51" si="14">IFERROR(IF(AND(Q48="Impacto",Q49="Impacto"),(AB48-(+AB48*T49)),IF(AND(Q48="Probabilidad",Q49="Impacto"),(AB47-(+AB47*T49)),IF(Q49="Probabilidad",AB48,""))),"")</f>
        <v/>
      </c>
      <c r="AC49" s="18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3"/>
      <c r="AE49" s="187"/>
      <c r="AF49" s="187"/>
      <c r="AG49" s="188"/>
      <c r="AH49" s="188"/>
      <c r="AI49" s="187"/>
      <c r="AJ49" s="187"/>
    </row>
    <row r="50" spans="1:36" ht="151.5" hidden="1" customHeight="1" outlineLevel="1" x14ac:dyDescent="0.35">
      <c r="A50" s="174"/>
      <c r="B50" s="175"/>
      <c r="C50" s="175"/>
      <c r="D50" s="175"/>
      <c r="E50" s="176"/>
      <c r="F50" s="175"/>
      <c r="G50" s="175"/>
      <c r="H50" s="177"/>
      <c r="I50" s="178"/>
      <c r="J50" s="179"/>
      <c r="K50" s="280">
        <f t="shared" si="8"/>
        <v>0</v>
      </c>
      <c r="L50" s="177"/>
      <c r="M50" s="178"/>
      <c r="N50" s="177"/>
      <c r="O50" s="180">
        <v>5</v>
      </c>
      <c r="P50" s="181"/>
      <c r="Q50" s="182" t="str">
        <f t="shared" si="12"/>
        <v/>
      </c>
      <c r="R50" s="183"/>
      <c r="S50" s="183"/>
      <c r="T50" s="184" t="str">
        <f t="shared" si="9"/>
        <v/>
      </c>
      <c r="U50" s="183"/>
      <c r="V50" s="183"/>
      <c r="W50" s="183"/>
      <c r="X50" s="185" t="str">
        <f t="shared" si="13"/>
        <v/>
      </c>
      <c r="Y50" s="186" t="str">
        <f t="shared" si="1"/>
        <v/>
      </c>
      <c r="Z50" s="184" t="str">
        <f t="shared" si="10"/>
        <v/>
      </c>
      <c r="AA50" s="186" t="str">
        <f t="shared" si="3"/>
        <v/>
      </c>
      <c r="AB50" s="184" t="str">
        <f t="shared" si="14"/>
        <v/>
      </c>
      <c r="AC50" s="186" t="str">
        <f t="shared" ref="AC50:AC51" si="15">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3"/>
      <c r="AE50" s="187"/>
      <c r="AF50" s="187"/>
      <c r="AG50" s="188"/>
      <c r="AH50" s="188"/>
      <c r="AI50" s="187"/>
      <c r="AJ50" s="187"/>
    </row>
    <row r="51" spans="1:36" ht="151.5" hidden="1" customHeight="1" outlineLevel="1" x14ac:dyDescent="0.35">
      <c r="A51" s="174"/>
      <c r="B51" s="175"/>
      <c r="C51" s="175"/>
      <c r="D51" s="175"/>
      <c r="E51" s="176"/>
      <c r="F51" s="175"/>
      <c r="G51" s="175"/>
      <c r="H51" s="177"/>
      <c r="I51" s="178"/>
      <c r="J51" s="179"/>
      <c r="K51" s="280">
        <f t="shared" si="8"/>
        <v>0</v>
      </c>
      <c r="L51" s="177"/>
      <c r="M51" s="178"/>
      <c r="N51" s="177"/>
      <c r="O51" s="180">
        <v>6</v>
      </c>
      <c r="P51" s="181"/>
      <c r="Q51" s="182" t="str">
        <f t="shared" si="12"/>
        <v/>
      </c>
      <c r="R51" s="183"/>
      <c r="S51" s="183"/>
      <c r="T51" s="184" t="str">
        <f t="shared" si="9"/>
        <v/>
      </c>
      <c r="U51" s="183"/>
      <c r="V51" s="183"/>
      <c r="W51" s="183"/>
      <c r="X51" s="185" t="str">
        <f t="shared" si="13"/>
        <v/>
      </c>
      <c r="Y51" s="186" t="str">
        <f t="shared" si="1"/>
        <v/>
      </c>
      <c r="Z51" s="184" t="str">
        <f t="shared" si="10"/>
        <v/>
      </c>
      <c r="AA51" s="186" t="str">
        <f t="shared" si="3"/>
        <v/>
      </c>
      <c r="AB51" s="184" t="str">
        <f t="shared" si="14"/>
        <v/>
      </c>
      <c r="AC51" s="186" t="str">
        <f t="shared" si="15"/>
        <v/>
      </c>
      <c r="AD51" s="183"/>
      <c r="AE51" s="187"/>
      <c r="AF51" s="187"/>
      <c r="AG51" s="188"/>
      <c r="AH51" s="188"/>
      <c r="AI51" s="187"/>
      <c r="AJ51" s="187"/>
    </row>
    <row r="52" spans="1:36" ht="151.5" hidden="1" customHeight="1" collapsed="1" x14ac:dyDescent="0.35">
      <c r="A52" s="163"/>
      <c r="B52" s="122"/>
      <c r="C52" s="122"/>
      <c r="D52" s="122"/>
      <c r="E52" s="161"/>
      <c r="F52" s="122"/>
      <c r="G52" s="122"/>
      <c r="H52" s="166" t="str">
        <f>IF(G52&lt;=0,"",IF(G52&lt;=2,"Muy Baja",IF(G52&lt;=24,"Baja",IF(G52&lt;=500,"Media",IF(G52&lt;=5000,"Alta","Muy Alta")))))</f>
        <v/>
      </c>
      <c r="I52" s="167" t="str">
        <f>IF(H52="","",IF(H52="Muy Baja",0.2,IF(H52="Baja",0.4,IF(H52="Media",0.6,IF(H52="Alta",0.8,IF(H52="Muy Alta",1,))))))</f>
        <v/>
      </c>
      <c r="J52" s="168"/>
      <c r="K52" s="280">
        <f>IF(NOT(ISERROR(MATCH(J52,'Tabla Impacto'!$B$221:$B$223,0))),'Tabla Impacto'!$F$223&amp;"Por favor no seleccionar los criterios de impacto(Afectación Económica o presupuestal y Pérdida Reputacional)",J52)</f>
        <v>0</v>
      </c>
      <c r="L52" s="166" t="str">
        <f>IF(OR(K52='Tabla Impacto'!$C$11,K52='Tabla Impacto'!$D$11),"Leve",IF(OR(K52='Tabla Impacto'!$C$12,K52='Tabla Impacto'!$D$12),"Menor",IF(OR(K52='Tabla Impacto'!$C$13,K52='Tabla Impacto'!$D$13),"Moderado",IF(OR(K52='Tabla Impacto'!$C$14,K52='Tabla Impacto'!$D$14),"Mayor",IF(OR(K52='Tabla Impacto'!$C$15,K52='Tabla Impacto'!$D$15),"Catastrófico","")))))</f>
        <v/>
      </c>
      <c r="M52" s="167" t="str">
        <f>IF(L52="","",IF(L52="Leve",0.2,IF(L52="Menor",0.4,IF(L52="Moderado",0.6,IF(L52="Mayor",0.8,IF(L52="Catastrófico",1,))))))</f>
        <v/>
      </c>
      <c r="N52" s="16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63"/>
      <c r="P52" s="122"/>
      <c r="Q52" s="169" t="str">
        <f>IF(OR(R52="Preventivo",R52="Detectivo"),"Probabilidad",IF(R52="Correctivo","Impacto",""))</f>
        <v/>
      </c>
      <c r="R52" s="170"/>
      <c r="S52" s="170"/>
      <c r="T52" s="167" t="str">
        <f>IF(AND(R52="Preventivo",S52="Automático"),"50%",IF(AND(R52="Preventivo",S52="Manual"),"40%",IF(AND(R52="Detectivo",S52="Automático"),"40%",IF(AND(R52="Detectivo",S52="Manual"),"30%",IF(AND(R52="Correctivo",S52="Automático"),"35%",IF(AND(R52="Correctivo",S52="Manual"),"25%",""))))))</f>
        <v/>
      </c>
      <c r="U52" s="170"/>
      <c r="V52" s="170"/>
      <c r="W52" s="170"/>
      <c r="X52" s="171" t="str">
        <f>IFERROR(IF(Q52="Probabilidad",(I52-(+I52*T52)),IF(Q52="Impacto",I52,"")),"")</f>
        <v/>
      </c>
      <c r="Y52" s="172" t="str">
        <f>IFERROR(IF(X52="","",IF(X52&lt;=0.2,"Muy Baja",IF(X52&lt;=0.4,"Baja",IF(X52&lt;=0.6,"Media",IF(X52&lt;=0.8,"Alta","Muy Alta"))))),"")</f>
        <v/>
      </c>
      <c r="Z52" s="167" t="str">
        <f>+X52</f>
        <v/>
      </c>
      <c r="AA52" s="172" t="str">
        <f>IFERROR(IF(AB52="","",IF(AB52&lt;=0.2,"Leve",IF(AB52&lt;=0.4,"Menor",IF(AB52&lt;=0.6,"Moderado",IF(AB52&lt;=0.8,"Mayor","Catastrófico"))))),"")</f>
        <v/>
      </c>
      <c r="AB52" s="167" t="str">
        <f>IFERROR(IF(Q52="Impacto",(M52-(+M52*T52)),IF(Q52="Probabilidad",M52,"")),"")</f>
        <v/>
      </c>
      <c r="AC52" s="172"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70"/>
      <c r="AE52" s="122"/>
      <c r="AF52" s="122"/>
      <c r="AG52" s="173"/>
      <c r="AH52" s="173"/>
      <c r="AI52" s="122"/>
      <c r="AJ52" s="122"/>
    </row>
    <row r="53" spans="1:36" ht="151.5" hidden="1" customHeight="1" outlineLevel="1" x14ac:dyDescent="0.35">
      <c r="A53" s="174"/>
      <c r="B53" s="175"/>
      <c r="C53" s="175"/>
      <c r="D53" s="175"/>
      <c r="E53" s="176"/>
      <c r="F53" s="175"/>
      <c r="G53" s="175"/>
      <c r="H53" s="177"/>
      <c r="I53" s="178"/>
      <c r="J53" s="179"/>
      <c r="K53" s="280">
        <f>IF(NOT(ISERROR(MATCH(J53,_xlfn.ANCHORARRAY(E64),0))),I66&amp;"Por favor no seleccionar los criterios de impacto",J53)</f>
        <v>0</v>
      </c>
      <c r="L53" s="177"/>
      <c r="M53" s="178"/>
      <c r="N53" s="177"/>
      <c r="O53" s="180">
        <v>2</v>
      </c>
      <c r="P53" s="181"/>
      <c r="Q53" s="182" t="str">
        <f>IF(OR(R53="Preventivo",R53="Detectivo"),"Probabilidad",IF(R53="Correctivo","Impacto",""))</f>
        <v/>
      </c>
      <c r="R53" s="183"/>
      <c r="S53" s="183"/>
      <c r="T53" s="184" t="str">
        <f t="shared" ref="T53:T57" si="16">IF(AND(R53="Preventivo",S53="Automático"),"50%",IF(AND(R53="Preventivo",S53="Manual"),"40%",IF(AND(R53="Detectivo",S53="Automático"),"40%",IF(AND(R53="Detectivo",S53="Manual"),"30%",IF(AND(R53="Correctivo",S53="Automático"),"35%",IF(AND(R53="Correctivo",S53="Manual"),"25%",""))))))</f>
        <v/>
      </c>
      <c r="U53" s="183"/>
      <c r="V53" s="183"/>
      <c r="W53" s="183"/>
      <c r="X53" s="185" t="str">
        <f>IFERROR(IF(AND(Q52="Probabilidad",Q53="Probabilidad"),(Z52-(+Z52*T53)),IF(Q53="Probabilidad",(I52-(+I52*T53)),IF(Q53="Impacto",Z52,""))),"")</f>
        <v/>
      </c>
      <c r="Y53" s="186" t="str">
        <f t="shared" si="1"/>
        <v/>
      </c>
      <c r="Z53" s="184" t="str">
        <f t="shared" ref="Z53:Z57" si="17">+X53</f>
        <v/>
      </c>
      <c r="AA53" s="186" t="str">
        <f t="shared" si="3"/>
        <v/>
      </c>
      <c r="AB53" s="184" t="str">
        <f>IFERROR(IF(AND(Q52="Impacto",Q53="Impacto"),(AB46-(+AB46*T53)),IF(Q53="Impacto",($M$52-(+$M$52*T53)),IF(Q53="Probabilidad",AB46,""))),"")</f>
        <v/>
      </c>
      <c r="AC53" s="186" t="str">
        <f t="shared" ref="AC53:AC54" si="18">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3"/>
      <c r="AE53" s="187"/>
      <c r="AF53" s="187"/>
      <c r="AG53" s="188"/>
      <c r="AH53" s="188"/>
      <c r="AI53" s="187"/>
      <c r="AJ53" s="187"/>
    </row>
    <row r="54" spans="1:36" ht="151.5" hidden="1" customHeight="1" outlineLevel="1" x14ac:dyDescent="0.35">
      <c r="A54" s="174"/>
      <c r="B54" s="175"/>
      <c r="C54" s="175"/>
      <c r="D54" s="175"/>
      <c r="E54" s="176"/>
      <c r="F54" s="175"/>
      <c r="G54" s="175"/>
      <c r="H54" s="177"/>
      <c r="I54" s="178"/>
      <c r="J54" s="179"/>
      <c r="K54" s="280">
        <f>IF(NOT(ISERROR(MATCH(J54,_xlfn.ANCHORARRAY(E65),0))),I67&amp;"Por favor no seleccionar los criterios de impacto",J54)</f>
        <v>0</v>
      </c>
      <c r="L54" s="177"/>
      <c r="M54" s="178"/>
      <c r="N54" s="177"/>
      <c r="O54" s="180">
        <v>3</v>
      </c>
      <c r="P54" s="181"/>
      <c r="Q54" s="182" t="str">
        <f>IF(OR(R54="Preventivo",R54="Detectivo"),"Probabilidad",IF(R54="Correctivo","Impacto",""))</f>
        <v/>
      </c>
      <c r="R54" s="183"/>
      <c r="S54" s="183"/>
      <c r="T54" s="184" t="str">
        <f t="shared" si="16"/>
        <v/>
      </c>
      <c r="U54" s="183"/>
      <c r="V54" s="183"/>
      <c r="W54" s="183"/>
      <c r="X54" s="185" t="str">
        <f>IFERROR(IF(AND(Q53="Probabilidad",Q54="Probabilidad"),(Z53-(+Z53*T54)),IF(AND(Q53="Impacto",Q54="Probabilidad"),(Z52-(+Z52*T54)),IF(Q54="Impacto",Z53,""))),"")</f>
        <v/>
      </c>
      <c r="Y54" s="186" t="str">
        <f t="shared" si="1"/>
        <v/>
      </c>
      <c r="Z54" s="184" t="str">
        <f t="shared" si="17"/>
        <v/>
      </c>
      <c r="AA54" s="186" t="str">
        <f t="shared" si="3"/>
        <v/>
      </c>
      <c r="AB54" s="184" t="str">
        <f>IFERROR(IF(AND(Q53="Impacto",Q54="Impacto"),(AB53-(+AB53*T54)),IF(AND(Q53="Probabilidad",Q54="Impacto"),(AB52-(+AB52*T54)),IF(Q54="Probabilidad",AB53,""))),"")</f>
        <v/>
      </c>
      <c r="AC54" s="186" t="str">
        <f t="shared" si="18"/>
        <v/>
      </c>
      <c r="AD54" s="183"/>
      <c r="AE54" s="187"/>
      <c r="AF54" s="187"/>
      <c r="AG54" s="188"/>
      <c r="AH54" s="188"/>
      <c r="AI54" s="187"/>
      <c r="AJ54" s="187"/>
    </row>
    <row r="55" spans="1:36" ht="151.5" hidden="1" customHeight="1" outlineLevel="1" x14ac:dyDescent="0.35">
      <c r="A55" s="174"/>
      <c r="B55" s="175"/>
      <c r="C55" s="175"/>
      <c r="D55" s="175"/>
      <c r="E55" s="176"/>
      <c r="F55" s="175"/>
      <c r="G55" s="175"/>
      <c r="H55" s="177"/>
      <c r="I55" s="178"/>
      <c r="J55" s="179"/>
      <c r="K55" s="280">
        <f>IF(NOT(ISERROR(MATCH(J55,_xlfn.ANCHORARRAY(E66),0))),I68&amp;"Por favor no seleccionar los criterios de impacto",J55)</f>
        <v>0</v>
      </c>
      <c r="L55" s="177"/>
      <c r="M55" s="178"/>
      <c r="N55" s="177"/>
      <c r="O55" s="180">
        <v>4</v>
      </c>
      <c r="P55" s="181"/>
      <c r="Q55" s="182" t="str">
        <f t="shared" ref="Q55:Q57" si="19">IF(OR(R55="Preventivo",R55="Detectivo"),"Probabilidad",IF(R55="Correctivo","Impacto",""))</f>
        <v/>
      </c>
      <c r="R55" s="183"/>
      <c r="S55" s="183"/>
      <c r="T55" s="184" t="str">
        <f t="shared" si="16"/>
        <v/>
      </c>
      <c r="U55" s="183"/>
      <c r="V55" s="183"/>
      <c r="W55" s="183"/>
      <c r="X55" s="185" t="str">
        <f t="shared" ref="X55:X57" si="20">IFERROR(IF(AND(Q54="Probabilidad",Q55="Probabilidad"),(Z54-(+Z54*T55)),IF(AND(Q54="Impacto",Q55="Probabilidad"),(Z53-(+Z53*T55)),IF(Q55="Impacto",Z54,""))),"")</f>
        <v/>
      </c>
      <c r="Y55" s="186" t="str">
        <f t="shared" si="1"/>
        <v/>
      </c>
      <c r="Z55" s="184" t="str">
        <f t="shared" si="17"/>
        <v/>
      </c>
      <c r="AA55" s="186" t="str">
        <f t="shared" si="3"/>
        <v/>
      </c>
      <c r="AB55" s="184" t="str">
        <f t="shared" ref="AB55:AB57" si="21">IFERROR(IF(AND(Q54="Impacto",Q55="Impacto"),(AB54-(+AB54*T55)),IF(AND(Q54="Probabilidad",Q55="Impacto"),(AB53-(+AB53*T55)),IF(Q55="Probabilidad",AB54,""))),"")</f>
        <v/>
      </c>
      <c r="AC55" s="18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3"/>
      <c r="AE55" s="187"/>
      <c r="AF55" s="187"/>
      <c r="AG55" s="188"/>
      <c r="AH55" s="188"/>
      <c r="AI55" s="187"/>
      <c r="AJ55" s="187"/>
    </row>
    <row r="56" spans="1:36" ht="151.5" hidden="1" customHeight="1" outlineLevel="1" x14ac:dyDescent="0.35">
      <c r="A56" s="174"/>
      <c r="B56" s="175"/>
      <c r="C56" s="175"/>
      <c r="D56" s="175"/>
      <c r="E56" s="176"/>
      <c r="F56" s="175"/>
      <c r="G56" s="175"/>
      <c r="H56" s="177"/>
      <c r="I56" s="178"/>
      <c r="J56" s="179"/>
      <c r="K56" s="280">
        <f>IF(NOT(ISERROR(MATCH(J56,_xlfn.ANCHORARRAY(E67),0))),I69&amp;"Por favor no seleccionar los criterios de impacto",J56)</f>
        <v>0</v>
      </c>
      <c r="L56" s="177"/>
      <c r="M56" s="178"/>
      <c r="N56" s="177"/>
      <c r="O56" s="180">
        <v>5</v>
      </c>
      <c r="P56" s="181"/>
      <c r="Q56" s="182" t="str">
        <f t="shared" si="19"/>
        <v/>
      </c>
      <c r="R56" s="183"/>
      <c r="S56" s="183"/>
      <c r="T56" s="184" t="str">
        <f t="shared" si="16"/>
        <v/>
      </c>
      <c r="U56" s="183"/>
      <c r="V56" s="183"/>
      <c r="W56" s="183"/>
      <c r="X56" s="185" t="str">
        <f t="shared" si="20"/>
        <v/>
      </c>
      <c r="Y56" s="186" t="str">
        <f t="shared" si="1"/>
        <v/>
      </c>
      <c r="Z56" s="184" t="str">
        <f t="shared" si="17"/>
        <v/>
      </c>
      <c r="AA56" s="186" t="str">
        <f t="shared" si="3"/>
        <v/>
      </c>
      <c r="AB56" s="184" t="str">
        <f t="shared" si="21"/>
        <v/>
      </c>
      <c r="AC56" s="186" t="str">
        <f t="shared" ref="AC56:AC57" si="22">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3"/>
      <c r="AE56" s="187"/>
      <c r="AF56" s="187"/>
      <c r="AG56" s="188"/>
      <c r="AH56" s="188"/>
      <c r="AI56" s="187"/>
      <c r="AJ56" s="187"/>
    </row>
    <row r="57" spans="1:36" ht="151.5" hidden="1" customHeight="1" outlineLevel="1" x14ac:dyDescent="0.35">
      <c r="A57" s="174"/>
      <c r="B57" s="175"/>
      <c r="C57" s="175"/>
      <c r="D57" s="175"/>
      <c r="E57" s="176"/>
      <c r="F57" s="175"/>
      <c r="G57" s="175"/>
      <c r="H57" s="177"/>
      <c r="I57" s="178"/>
      <c r="J57" s="179"/>
      <c r="K57" s="280">
        <f>IF(NOT(ISERROR(MATCH(J57,_xlfn.ANCHORARRAY(E68),0))),I70&amp;"Por favor no seleccionar los criterios de impacto",J57)</f>
        <v>0</v>
      </c>
      <c r="L57" s="177"/>
      <c r="M57" s="178"/>
      <c r="N57" s="177"/>
      <c r="O57" s="180">
        <v>6</v>
      </c>
      <c r="P57" s="181"/>
      <c r="Q57" s="182" t="str">
        <f t="shared" si="19"/>
        <v/>
      </c>
      <c r="R57" s="183"/>
      <c r="S57" s="183"/>
      <c r="T57" s="184" t="str">
        <f t="shared" si="16"/>
        <v/>
      </c>
      <c r="U57" s="183"/>
      <c r="V57" s="183"/>
      <c r="W57" s="183"/>
      <c r="X57" s="185" t="str">
        <f t="shared" si="20"/>
        <v/>
      </c>
      <c r="Y57" s="186" t="str">
        <f t="shared" si="1"/>
        <v/>
      </c>
      <c r="Z57" s="184" t="str">
        <f t="shared" si="17"/>
        <v/>
      </c>
      <c r="AA57" s="186" t="str">
        <f t="shared" si="3"/>
        <v/>
      </c>
      <c r="AB57" s="184" t="str">
        <f t="shared" si="21"/>
        <v/>
      </c>
      <c r="AC57" s="186" t="str">
        <f t="shared" si="22"/>
        <v/>
      </c>
      <c r="AD57" s="183"/>
      <c r="AE57" s="187"/>
      <c r="AF57" s="187"/>
      <c r="AG57" s="188"/>
      <c r="AH57" s="188"/>
      <c r="AI57" s="187"/>
      <c r="AJ57" s="187"/>
    </row>
    <row r="58" spans="1:36" ht="151.5" hidden="1" customHeight="1" outlineLevel="1" x14ac:dyDescent="0.35">
      <c r="A58" s="286">
        <v>9</v>
      </c>
      <c r="B58" s="287"/>
      <c r="C58" s="287"/>
      <c r="D58" s="287"/>
      <c r="E58" s="288"/>
      <c r="F58" s="287"/>
      <c r="G58" s="287"/>
      <c r="H58" s="281" t="str">
        <f>IF(G58&lt;=0,"",IF(G58&lt;=2,"Muy Baja",IF(G58&lt;=24,"Baja",IF(G58&lt;=500,"Media",IF(G58&lt;=5000,"Alta","Muy Alta")))))</f>
        <v/>
      </c>
      <c r="I58" s="280" t="str">
        <f>IF(H58="","",IF(H58="Muy Baja",0.2,IF(H58="Baja",0.4,IF(H58="Media",0.6,IF(H58="Alta",0.8,IF(H58="Muy Alta",1,))))))</f>
        <v/>
      </c>
      <c r="J58" s="279"/>
      <c r="K58" s="280">
        <f>IF(NOT(ISERROR(MATCH(J58,'Tabla Impacto'!$B$221:$B$223,0))),'Tabla Impacto'!$F$223&amp;"Por favor no seleccionar los criterios de impacto(Afectación Económica o presupuestal y Pérdida Reputacional)",J58)</f>
        <v>0</v>
      </c>
      <c r="L58" s="281" t="str">
        <f>IF(OR(K58='Tabla Impacto'!$C$11,K58='Tabla Impacto'!$D$11),"Leve",IF(OR(K58='Tabla Impacto'!$C$12,K58='Tabla Impacto'!$D$12),"Menor",IF(OR(K58='Tabla Impacto'!$C$13,K58='Tabla Impacto'!$D$13),"Moderado",IF(OR(K58='Tabla Impacto'!$C$14,K58='Tabla Impacto'!$D$14),"Mayor",IF(OR(K58='Tabla Impacto'!$C$15,K58='Tabla Impacto'!$D$15),"Catastrófico","")))))</f>
        <v/>
      </c>
      <c r="M58" s="280" t="str">
        <f>IF(L58="","",IF(L58="Leve",0.2,IF(L58="Menor",0.4,IF(L58="Moderado",0.6,IF(L58="Mayor",0.8,IF(L58="Catastrófico",1,))))))</f>
        <v/>
      </c>
      <c r="N58" s="28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80">
        <v>1</v>
      </c>
      <c r="P58" s="181"/>
      <c r="Q58" s="182" t="str">
        <f>IF(OR(R58="Preventivo",R58="Detectivo"),"Probabilidad",IF(R58="Correctivo","Impacto",""))</f>
        <v/>
      </c>
      <c r="R58" s="183"/>
      <c r="S58" s="183"/>
      <c r="T58" s="184" t="str">
        <f>IF(AND(R58="Preventivo",S58="Automático"),"50%",IF(AND(R58="Preventivo",S58="Manual"),"40%",IF(AND(R58="Detectivo",S58="Automático"),"40%",IF(AND(R58="Detectivo",S58="Manual"),"30%",IF(AND(R58="Correctivo",S58="Automático"),"35%",IF(AND(R58="Correctivo",S58="Manual"),"25%",""))))))</f>
        <v/>
      </c>
      <c r="U58" s="183"/>
      <c r="V58" s="183"/>
      <c r="W58" s="183"/>
      <c r="X58" s="185" t="str">
        <f>IFERROR(IF(Q58="Probabilidad",(I58-(+I58*T58)),IF(Q58="Impacto",I58,"")),"")</f>
        <v/>
      </c>
      <c r="Y58" s="186" t="str">
        <f>IFERROR(IF(X58="","",IF(X58&lt;=0.2,"Muy Baja",IF(X58&lt;=0.4,"Baja",IF(X58&lt;=0.6,"Media",IF(X58&lt;=0.8,"Alta","Muy Alta"))))),"")</f>
        <v/>
      </c>
      <c r="Z58" s="184" t="str">
        <f>+X58</f>
        <v/>
      </c>
      <c r="AA58" s="186" t="str">
        <f>IFERROR(IF(AB58="","",IF(AB58&lt;=0.2,"Leve",IF(AB58&lt;=0.4,"Menor",IF(AB58&lt;=0.6,"Moderado",IF(AB58&lt;=0.8,"Mayor","Catastrófico"))))),"")</f>
        <v/>
      </c>
      <c r="AB58" s="184" t="str">
        <f>IFERROR(IF(Q58="Impacto",(M58-(+M58*T58)),IF(Q58="Probabilidad",M58,"")),"")</f>
        <v/>
      </c>
      <c r="AC58" s="18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3"/>
      <c r="AE58" s="187"/>
      <c r="AF58" s="187"/>
      <c r="AG58" s="188"/>
      <c r="AH58" s="188"/>
      <c r="AI58" s="187"/>
      <c r="AJ58" s="187"/>
    </row>
    <row r="59" spans="1:36" ht="151.5" hidden="1" customHeight="1" outlineLevel="1" x14ac:dyDescent="0.35">
      <c r="A59" s="286"/>
      <c r="B59" s="287"/>
      <c r="C59" s="287"/>
      <c r="D59" s="287"/>
      <c r="E59" s="288"/>
      <c r="F59" s="287"/>
      <c r="G59" s="287"/>
      <c r="H59" s="281"/>
      <c r="I59" s="280"/>
      <c r="J59" s="279"/>
      <c r="K59" s="280">
        <f>IF(NOT(ISERROR(MATCH(J59,_xlfn.ANCHORARRAY(E70),0))),I71&amp;"Por favor no seleccionar los criterios de impacto",J59)</f>
        <v>0</v>
      </c>
      <c r="L59" s="281"/>
      <c r="M59" s="280"/>
      <c r="N59" s="281"/>
      <c r="O59" s="180">
        <v>2</v>
      </c>
      <c r="P59" s="181"/>
      <c r="Q59" s="182" t="str">
        <f>IF(OR(R59="Preventivo",R59="Detectivo"),"Probabilidad",IF(R59="Correctivo","Impacto",""))</f>
        <v/>
      </c>
      <c r="R59" s="183"/>
      <c r="S59" s="183"/>
      <c r="T59" s="184" t="str">
        <f t="shared" ref="T59:T63" si="23">IF(AND(R59="Preventivo",S59="Automático"),"50%",IF(AND(R59="Preventivo",S59="Manual"),"40%",IF(AND(R59="Detectivo",S59="Automático"),"40%",IF(AND(R59="Detectivo",S59="Manual"),"30%",IF(AND(R59="Correctivo",S59="Automático"),"35%",IF(AND(R59="Correctivo",S59="Manual"),"25%",""))))))</f>
        <v/>
      </c>
      <c r="U59" s="183"/>
      <c r="V59" s="183"/>
      <c r="W59" s="183"/>
      <c r="X59" s="185" t="str">
        <f>IFERROR(IF(AND(Q58="Probabilidad",Q59="Probabilidad"),(Z58-(+Z58*T59)),IF(Q59="Probabilidad",(I58-(+I58*T59)),IF(Q59="Impacto",Z58,""))),"")</f>
        <v/>
      </c>
      <c r="Y59" s="186" t="str">
        <f t="shared" si="1"/>
        <v/>
      </c>
      <c r="Z59" s="184" t="str">
        <f t="shared" ref="Z59:Z63" si="24">+X59</f>
        <v/>
      </c>
      <c r="AA59" s="186" t="str">
        <f t="shared" si="3"/>
        <v/>
      </c>
      <c r="AB59" s="184" t="str">
        <f>IFERROR(IF(AND(Q58="Impacto",Q59="Impacto"),(AB52-(+AB52*T59)),IF(Q59="Impacto",($M$58-(+$M$58*T59)),IF(Q59="Probabilidad",AB52,""))),"")</f>
        <v/>
      </c>
      <c r="AC59" s="186" t="str">
        <f t="shared" ref="AC59:AC60" si="25">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3"/>
      <c r="AE59" s="187"/>
      <c r="AF59" s="187"/>
      <c r="AG59" s="188"/>
      <c r="AH59" s="188"/>
      <c r="AI59" s="187"/>
      <c r="AJ59" s="187"/>
    </row>
    <row r="60" spans="1:36" ht="151.5" hidden="1" customHeight="1" outlineLevel="1" x14ac:dyDescent="0.35">
      <c r="A60" s="286"/>
      <c r="B60" s="287"/>
      <c r="C60" s="287"/>
      <c r="D60" s="287"/>
      <c r="E60" s="288"/>
      <c r="F60" s="287"/>
      <c r="G60" s="287"/>
      <c r="H60" s="281"/>
      <c r="I60" s="280"/>
      <c r="J60" s="279"/>
      <c r="K60" s="280">
        <f>IF(NOT(ISERROR(MATCH(J60,_xlfn.ANCHORARRAY(#REF!),0))),I76&amp;"Por favor no seleccionar los criterios de impacto",J60)</f>
        <v>0</v>
      </c>
      <c r="L60" s="281"/>
      <c r="M60" s="280"/>
      <c r="N60" s="281"/>
      <c r="O60" s="180">
        <v>3</v>
      </c>
      <c r="P60" s="181"/>
      <c r="Q60" s="182" t="str">
        <f>IF(OR(R60="Preventivo",R60="Detectivo"),"Probabilidad",IF(R60="Correctivo","Impacto",""))</f>
        <v/>
      </c>
      <c r="R60" s="183"/>
      <c r="S60" s="183"/>
      <c r="T60" s="184" t="str">
        <f t="shared" si="23"/>
        <v/>
      </c>
      <c r="U60" s="183"/>
      <c r="V60" s="183"/>
      <c r="W60" s="183"/>
      <c r="X60" s="185" t="str">
        <f>IFERROR(IF(AND(Q59="Probabilidad",Q60="Probabilidad"),(Z59-(+Z59*T60)),IF(AND(Q59="Impacto",Q60="Probabilidad"),(Z58-(+Z58*T60)),IF(Q60="Impacto",Z59,""))),"")</f>
        <v/>
      </c>
      <c r="Y60" s="186" t="str">
        <f t="shared" si="1"/>
        <v/>
      </c>
      <c r="Z60" s="184" t="str">
        <f t="shared" si="24"/>
        <v/>
      </c>
      <c r="AA60" s="186" t="str">
        <f t="shared" si="3"/>
        <v/>
      </c>
      <c r="AB60" s="184" t="str">
        <f>IFERROR(IF(AND(Q59="Impacto",Q60="Impacto"),(AB59-(+AB59*T60)),IF(AND(Q59="Probabilidad",Q60="Impacto"),(AB58-(+AB58*T60)),IF(Q60="Probabilidad",AB59,""))),"")</f>
        <v/>
      </c>
      <c r="AC60" s="186" t="str">
        <f t="shared" si="25"/>
        <v/>
      </c>
      <c r="AD60" s="183"/>
      <c r="AE60" s="187"/>
      <c r="AF60" s="187"/>
      <c r="AG60" s="188"/>
      <c r="AH60" s="188"/>
      <c r="AI60" s="187"/>
      <c r="AJ60" s="187"/>
    </row>
    <row r="61" spans="1:36" ht="151.5" hidden="1" customHeight="1" outlineLevel="1" x14ac:dyDescent="0.35">
      <c r="A61" s="286"/>
      <c r="B61" s="287"/>
      <c r="C61" s="287"/>
      <c r="D61" s="287"/>
      <c r="E61" s="288"/>
      <c r="F61" s="287"/>
      <c r="G61" s="287"/>
      <c r="H61" s="281"/>
      <c r="I61" s="280"/>
      <c r="J61" s="279"/>
      <c r="K61" s="280">
        <f>IF(NOT(ISERROR(MATCH(J61,_xlfn.ANCHORARRAY(E71),0))),I77&amp;"Por favor no seleccionar los criterios de impacto",J61)</f>
        <v>0</v>
      </c>
      <c r="L61" s="281"/>
      <c r="M61" s="280"/>
      <c r="N61" s="281"/>
      <c r="O61" s="180">
        <v>4</v>
      </c>
      <c r="P61" s="181"/>
      <c r="Q61" s="182" t="str">
        <f t="shared" ref="Q61:Q63" si="26">IF(OR(R61="Preventivo",R61="Detectivo"),"Probabilidad",IF(R61="Correctivo","Impacto",""))</f>
        <v/>
      </c>
      <c r="R61" s="183"/>
      <c r="S61" s="183"/>
      <c r="T61" s="184" t="str">
        <f t="shared" si="23"/>
        <v/>
      </c>
      <c r="U61" s="183"/>
      <c r="V61" s="183"/>
      <c r="W61" s="183"/>
      <c r="X61" s="185" t="str">
        <f t="shared" ref="X61:X63" si="27">IFERROR(IF(AND(Q60="Probabilidad",Q61="Probabilidad"),(Z60-(+Z60*T61)),IF(AND(Q60="Impacto",Q61="Probabilidad"),(Z59-(+Z59*T61)),IF(Q61="Impacto",Z60,""))),"")</f>
        <v/>
      </c>
      <c r="Y61" s="186" t="str">
        <f t="shared" si="1"/>
        <v/>
      </c>
      <c r="Z61" s="184" t="str">
        <f t="shared" si="24"/>
        <v/>
      </c>
      <c r="AA61" s="186" t="str">
        <f t="shared" si="3"/>
        <v/>
      </c>
      <c r="AB61" s="184" t="str">
        <f t="shared" ref="AB61:AB63" si="28">IFERROR(IF(AND(Q60="Impacto",Q61="Impacto"),(AB60-(+AB60*T61)),IF(AND(Q60="Probabilidad",Q61="Impacto"),(AB59-(+AB59*T61)),IF(Q61="Probabilidad",AB60,""))),"")</f>
        <v/>
      </c>
      <c r="AC61" s="18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3"/>
      <c r="AE61" s="187"/>
      <c r="AF61" s="187"/>
      <c r="AG61" s="188"/>
      <c r="AH61" s="188"/>
      <c r="AI61" s="187"/>
      <c r="AJ61" s="187"/>
    </row>
    <row r="62" spans="1:36" ht="151.5" hidden="1" customHeight="1" outlineLevel="1" x14ac:dyDescent="0.35">
      <c r="A62" s="286"/>
      <c r="B62" s="287"/>
      <c r="C62" s="287"/>
      <c r="D62" s="287"/>
      <c r="E62" s="288"/>
      <c r="F62" s="287"/>
      <c r="G62" s="287"/>
      <c r="H62" s="281"/>
      <c r="I62" s="280"/>
      <c r="J62" s="279"/>
      <c r="K62" s="280">
        <f>IF(NOT(ISERROR(MATCH(J62,_xlfn.ANCHORARRAY(E76),0))),#REF!&amp;"Por favor no seleccionar los criterios de impacto",J62)</f>
        <v>0</v>
      </c>
      <c r="L62" s="281"/>
      <c r="M62" s="280"/>
      <c r="N62" s="281"/>
      <c r="O62" s="180">
        <v>5</v>
      </c>
      <c r="P62" s="181"/>
      <c r="Q62" s="182" t="str">
        <f t="shared" si="26"/>
        <v/>
      </c>
      <c r="R62" s="183"/>
      <c r="S62" s="183"/>
      <c r="T62" s="184" t="str">
        <f t="shared" si="23"/>
        <v/>
      </c>
      <c r="U62" s="183"/>
      <c r="V62" s="183"/>
      <c r="W62" s="183"/>
      <c r="X62" s="185" t="str">
        <f t="shared" si="27"/>
        <v/>
      </c>
      <c r="Y62" s="186" t="str">
        <f t="shared" si="1"/>
        <v/>
      </c>
      <c r="Z62" s="184" t="str">
        <f t="shared" si="24"/>
        <v/>
      </c>
      <c r="AA62" s="186" t="str">
        <f t="shared" si="3"/>
        <v/>
      </c>
      <c r="AB62" s="184" t="str">
        <f t="shared" si="28"/>
        <v/>
      </c>
      <c r="AC62" s="186" t="str">
        <f t="shared" ref="AC62:AC63" si="29">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3"/>
      <c r="AE62" s="187"/>
      <c r="AF62" s="187"/>
      <c r="AG62" s="188"/>
      <c r="AH62" s="188"/>
      <c r="AI62" s="187"/>
      <c r="AJ62" s="187"/>
    </row>
    <row r="63" spans="1:36" ht="151.5" hidden="1" customHeight="1" outlineLevel="1" x14ac:dyDescent="0.35">
      <c r="A63" s="286"/>
      <c r="B63" s="287"/>
      <c r="C63" s="287"/>
      <c r="D63" s="287"/>
      <c r="E63" s="288"/>
      <c r="F63" s="287"/>
      <c r="G63" s="287"/>
      <c r="H63" s="281"/>
      <c r="I63" s="280"/>
      <c r="J63" s="279"/>
      <c r="K63" s="280">
        <f>IF(NOT(ISERROR(MATCH(J63,_xlfn.ANCHORARRAY(F77),0))),#REF!&amp;"Por favor no seleccionar los criterios de impacto",J63)</f>
        <v>0</v>
      </c>
      <c r="L63" s="281"/>
      <c r="M63" s="280"/>
      <c r="N63" s="281"/>
      <c r="O63" s="180">
        <v>6</v>
      </c>
      <c r="P63" s="181"/>
      <c r="Q63" s="182" t="str">
        <f t="shared" si="26"/>
        <v/>
      </c>
      <c r="R63" s="183"/>
      <c r="S63" s="183"/>
      <c r="T63" s="184" t="str">
        <f t="shared" si="23"/>
        <v/>
      </c>
      <c r="U63" s="183"/>
      <c r="V63" s="183"/>
      <c r="W63" s="183"/>
      <c r="X63" s="185" t="str">
        <f t="shared" si="27"/>
        <v/>
      </c>
      <c r="Y63" s="186" t="str">
        <f t="shared" si="1"/>
        <v/>
      </c>
      <c r="Z63" s="184" t="str">
        <f t="shared" si="24"/>
        <v/>
      </c>
      <c r="AA63" s="186" t="str">
        <f t="shared" si="3"/>
        <v/>
      </c>
      <c r="AB63" s="184" t="str">
        <f t="shared" si="28"/>
        <v/>
      </c>
      <c r="AC63" s="186" t="str">
        <f t="shared" si="29"/>
        <v/>
      </c>
      <c r="AD63" s="183"/>
      <c r="AE63" s="187"/>
      <c r="AF63" s="187"/>
      <c r="AG63" s="188"/>
      <c r="AH63" s="188"/>
      <c r="AI63" s="187"/>
      <c r="AJ63" s="187"/>
    </row>
    <row r="64" spans="1:36" ht="151.5" hidden="1" customHeight="1" outlineLevel="1" x14ac:dyDescent="0.35">
      <c r="A64" s="286">
        <v>10</v>
      </c>
      <c r="B64" s="287"/>
      <c r="C64" s="287"/>
      <c r="D64" s="287"/>
      <c r="E64" s="288"/>
      <c r="F64" s="287"/>
      <c r="G64" s="287"/>
      <c r="H64" s="281" t="str">
        <f>IF(G64&lt;=0,"",IF(G64&lt;=2,"Muy Baja",IF(G64&lt;=24,"Baja",IF(G64&lt;=500,"Media",IF(G64&lt;=5000,"Alta","Muy Alta")))))</f>
        <v/>
      </c>
      <c r="I64" s="280" t="str">
        <f>IF(H64="","",IF(H64="Muy Baja",0.2,IF(H64="Baja",0.4,IF(H64="Media",0.6,IF(H64="Alta",0.8,IF(H64="Muy Alta",1,))))))</f>
        <v/>
      </c>
      <c r="J64" s="279"/>
      <c r="K64" s="280">
        <f>IF(NOT(ISERROR(MATCH(J64,'Tabla Impacto'!$B$221:$B$223,0))),'Tabla Impacto'!$F$223&amp;"Por favor no seleccionar los criterios de impacto(Afectación Económica o presupuestal y Pérdida Reputacional)",J64)</f>
        <v>0</v>
      </c>
      <c r="L64" s="281" t="str">
        <f>IF(OR(K64='Tabla Impacto'!$C$11,K64='Tabla Impacto'!$D$11),"Leve",IF(OR(K64='Tabla Impacto'!$C$12,K64='Tabla Impacto'!$D$12),"Menor",IF(OR(K64='Tabla Impacto'!$C$13,K64='Tabla Impacto'!$D$13),"Moderado",IF(OR(K64='Tabla Impacto'!$C$14,K64='Tabla Impacto'!$D$14),"Mayor",IF(OR(K64='Tabla Impacto'!$C$15,K64='Tabla Impacto'!$D$15),"Catastrófico","")))))</f>
        <v/>
      </c>
      <c r="M64" s="280" t="str">
        <f>IF(L64="","",IF(L64="Leve",0.2,IF(L64="Menor",0.4,IF(L64="Moderado",0.6,IF(L64="Mayor",0.8,IF(L64="Catastrófico",1,))))))</f>
        <v/>
      </c>
      <c r="N64" s="28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80">
        <v>1</v>
      </c>
      <c r="P64" s="181"/>
      <c r="Q64" s="182" t="str">
        <f>IF(OR(R64="Preventivo",R64="Detectivo"),"Probabilidad",IF(R64="Correctivo","Impacto",""))</f>
        <v/>
      </c>
      <c r="R64" s="183"/>
      <c r="S64" s="183"/>
      <c r="T64" s="184" t="str">
        <f>IF(AND(R64="Preventivo",S64="Automático"),"50%",IF(AND(R64="Preventivo",S64="Manual"),"40%",IF(AND(R64="Detectivo",S64="Automático"),"40%",IF(AND(R64="Detectivo",S64="Manual"),"30%",IF(AND(R64="Correctivo",S64="Automático"),"35%",IF(AND(R64="Correctivo",S64="Manual"),"25%",""))))))</f>
        <v/>
      </c>
      <c r="U64" s="183"/>
      <c r="V64" s="183"/>
      <c r="W64" s="183"/>
      <c r="X64" s="185" t="str">
        <f>IFERROR(IF(Q64="Probabilidad",(I64-(+I64*T64)),IF(Q64="Impacto",I64,"")),"")</f>
        <v/>
      </c>
      <c r="Y64" s="186" t="str">
        <f>IFERROR(IF(X64="","",IF(X64&lt;=0.2,"Muy Baja",IF(X64&lt;=0.4,"Baja",IF(X64&lt;=0.6,"Media",IF(X64&lt;=0.8,"Alta","Muy Alta"))))),"")</f>
        <v/>
      </c>
      <c r="Z64" s="184" t="str">
        <f>+X64</f>
        <v/>
      </c>
      <c r="AA64" s="186" t="str">
        <f>IFERROR(IF(AB64="","",IF(AB64&lt;=0.2,"Leve",IF(AB64&lt;=0.4,"Menor",IF(AB64&lt;=0.6,"Moderado",IF(AB64&lt;=0.8,"Mayor","Catastrófico"))))),"")</f>
        <v/>
      </c>
      <c r="AB64" s="184" t="str">
        <f>IFERROR(IF(Q64="Impacto",(M64-(+M64*T64)),IF(Q64="Probabilidad",M64,"")),"")</f>
        <v/>
      </c>
      <c r="AC64" s="18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3"/>
      <c r="AE64" s="187"/>
      <c r="AF64" s="187"/>
      <c r="AG64" s="188"/>
      <c r="AH64" s="188"/>
      <c r="AI64" s="187"/>
      <c r="AJ64" s="187"/>
    </row>
    <row r="65" spans="1:36" ht="151.5" hidden="1" customHeight="1" outlineLevel="1" x14ac:dyDescent="0.35">
      <c r="A65" s="286"/>
      <c r="B65" s="287"/>
      <c r="C65" s="287"/>
      <c r="D65" s="287"/>
      <c r="E65" s="288"/>
      <c r="F65" s="287"/>
      <c r="G65" s="287"/>
      <c r="H65" s="281"/>
      <c r="I65" s="280"/>
      <c r="J65" s="279"/>
      <c r="K65" s="280">
        <f>IF(NOT(ISERROR(MATCH(J65,_xlfn.ANCHORARRAY(#REF!),0))),#REF!&amp;"Por favor no seleccionar los criterios de impacto",J65)</f>
        <v>0</v>
      </c>
      <c r="L65" s="281"/>
      <c r="M65" s="280"/>
      <c r="N65" s="281"/>
      <c r="O65" s="180">
        <v>2</v>
      </c>
      <c r="P65" s="181"/>
      <c r="Q65" s="182" t="str">
        <f>IF(OR(R65="Preventivo",R65="Detectivo"),"Probabilidad",IF(R65="Correctivo","Impacto",""))</f>
        <v/>
      </c>
      <c r="R65" s="183"/>
      <c r="S65" s="183"/>
      <c r="T65" s="184" t="str">
        <f t="shared" ref="T65:T69" si="30">IF(AND(R65="Preventivo",S65="Automático"),"50%",IF(AND(R65="Preventivo",S65="Manual"),"40%",IF(AND(R65="Detectivo",S65="Automático"),"40%",IF(AND(R65="Detectivo",S65="Manual"),"30%",IF(AND(R65="Correctivo",S65="Automático"),"35%",IF(AND(R65="Correctivo",S65="Manual"),"25%",""))))))</f>
        <v/>
      </c>
      <c r="U65" s="183"/>
      <c r="V65" s="183"/>
      <c r="W65" s="183"/>
      <c r="X65" s="185" t="str">
        <f>IFERROR(IF(AND(Q64="Probabilidad",Q65="Probabilidad"),(Z64-(+Z64*T65)),IF(Q65="Probabilidad",(I64-(+I64*T65)),IF(Q65="Impacto",Z64,""))),"")</f>
        <v/>
      </c>
      <c r="Y65" s="186" t="str">
        <f t="shared" si="1"/>
        <v/>
      </c>
      <c r="Z65" s="184" t="str">
        <f t="shared" ref="Z65:Z69" si="31">+X65</f>
        <v/>
      </c>
      <c r="AA65" s="186" t="str">
        <f t="shared" si="3"/>
        <v/>
      </c>
      <c r="AB65" s="184" t="str">
        <f>IFERROR(IF(AND(Q64="Impacto",Q65="Impacto"),(AB58-(+AB58*T65)),IF(Q65="Impacto",($M$64-(+$M$64*T65)),IF(Q65="Probabilidad",AB58,""))),"")</f>
        <v/>
      </c>
      <c r="AC65" s="186" t="str">
        <f t="shared" ref="AC65:AC66" si="32">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3"/>
      <c r="AE65" s="187"/>
      <c r="AF65" s="187"/>
      <c r="AG65" s="188"/>
      <c r="AH65" s="188"/>
      <c r="AI65" s="187"/>
      <c r="AJ65" s="187"/>
    </row>
    <row r="66" spans="1:36" ht="151.5" hidden="1" customHeight="1" outlineLevel="1" x14ac:dyDescent="0.35">
      <c r="A66" s="286"/>
      <c r="B66" s="287"/>
      <c r="C66" s="287"/>
      <c r="D66" s="287"/>
      <c r="E66" s="288"/>
      <c r="F66" s="287"/>
      <c r="G66" s="287"/>
      <c r="H66" s="281"/>
      <c r="I66" s="280"/>
      <c r="J66" s="279"/>
      <c r="K66" s="280">
        <f>IF(NOT(ISERROR(MATCH(J66,_xlfn.ANCHORARRAY(#REF!),0))),#REF!&amp;"Por favor no seleccionar los criterios de impacto",J66)</f>
        <v>0</v>
      </c>
      <c r="L66" s="281"/>
      <c r="M66" s="280"/>
      <c r="N66" s="281"/>
      <c r="O66" s="180">
        <v>3</v>
      </c>
      <c r="P66" s="181"/>
      <c r="Q66" s="182" t="str">
        <f>IF(OR(R66="Preventivo",R66="Detectivo"),"Probabilidad",IF(R66="Correctivo","Impacto",""))</f>
        <v/>
      </c>
      <c r="R66" s="183"/>
      <c r="S66" s="183"/>
      <c r="T66" s="184" t="str">
        <f t="shared" si="30"/>
        <v/>
      </c>
      <c r="U66" s="183"/>
      <c r="V66" s="183"/>
      <c r="W66" s="183"/>
      <c r="X66" s="185" t="str">
        <f>IFERROR(IF(AND(Q65="Probabilidad",Q66="Probabilidad"),(Z65-(+Z65*T66)),IF(AND(Q65="Impacto",Q66="Probabilidad"),(Z64-(+Z64*T66)),IF(Q66="Impacto",Z65,""))),"")</f>
        <v/>
      </c>
      <c r="Y66" s="186" t="str">
        <f t="shared" si="1"/>
        <v/>
      </c>
      <c r="Z66" s="184" t="str">
        <f t="shared" si="31"/>
        <v/>
      </c>
      <c r="AA66" s="186" t="str">
        <f t="shared" si="3"/>
        <v/>
      </c>
      <c r="AB66" s="184" t="str">
        <f>IFERROR(IF(AND(Q65="Impacto",Q66="Impacto"),(AB65-(+AB65*T66)),IF(AND(Q65="Probabilidad",Q66="Impacto"),(AB64-(+AB64*T66)),IF(Q66="Probabilidad",AB65,""))),"")</f>
        <v/>
      </c>
      <c r="AC66" s="186" t="str">
        <f t="shared" si="32"/>
        <v/>
      </c>
      <c r="AD66" s="183"/>
      <c r="AE66" s="187"/>
      <c r="AF66" s="187"/>
      <c r="AG66" s="188"/>
      <c r="AH66" s="188"/>
      <c r="AI66" s="187"/>
      <c r="AJ66" s="187"/>
    </row>
    <row r="67" spans="1:36" ht="151.5" hidden="1" customHeight="1" outlineLevel="1" x14ac:dyDescent="0.35">
      <c r="A67" s="286"/>
      <c r="B67" s="287"/>
      <c r="C67" s="287"/>
      <c r="D67" s="287"/>
      <c r="E67" s="288"/>
      <c r="F67" s="287"/>
      <c r="G67" s="287"/>
      <c r="H67" s="281"/>
      <c r="I67" s="280"/>
      <c r="J67" s="279"/>
      <c r="K67" s="280">
        <f>IF(NOT(ISERROR(MATCH(J67,_xlfn.ANCHORARRAY(#REF!),0))),#REF!&amp;"Por favor no seleccionar los criterios de impacto",J67)</f>
        <v>0</v>
      </c>
      <c r="L67" s="281"/>
      <c r="M67" s="280"/>
      <c r="N67" s="281"/>
      <c r="O67" s="180">
        <v>4</v>
      </c>
      <c r="P67" s="181"/>
      <c r="Q67" s="182" t="str">
        <f t="shared" ref="Q67:Q69" si="33">IF(OR(R67="Preventivo",R67="Detectivo"),"Probabilidad",IF(R67="Correctivo","Impacto",""))</f>
        <v/>
      </c>
      <c r="R67" s="183"/>
      <c r="S67" s="183"/>
      <c r="T67" s="184" t="str">
        <f t="shared" si="30"/>
        <v/>
      </c>
      <c r="U67" s="183"/>
      <c r="V67" s="183"/>
      <c r="W67" s="183"/>
      <c r="X67" s="185" t="str">
        <f t="shared" ref="X67:X69" si="34">IFERROR(IF(AND(Q66="Probabilidad",Q67="Probabilidad"),(Z66-(+Z66*T67)),IF(AND(Q66="Impacto",Q67="Probabilidad"),(Z65-(+Z65*T67)),IF(Q67="Impacto",Z66,""))),"")</f>
        <v/>
      </c>
      <c r="Y67" s="186" t="str">
        <f t="shared" si="1"/>
        <v/>
      </c>
      <c r="Z67" s="184" t="str">
        <f t="shared" si="31"/>
        <v/>
      </c>
      <c r="AA67" s="186" t="str">
        <f t="shared" si="3"/>
        <v/>
      </c>
      <c r="AB67" s="184" t="str">
        <f t="shared" ref="AB67:AB69" si="35">IFERROR(IF(AND(Q66="Impacto",Q67="Impacto"),(AB66-(+AB66*T67)),IF(AND(Q66="Probabilidad",Q67="Impacto"),(AB65-(+AB65*T67)),IF(Q67="Probabilidad",AB66,""))),"")</f>
        <v/>
      </c>
      <c r="AC67" s="18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3"/>
      <c r="AE67" s="187"/>
      <c r="AF67" s="187"/>
      <c r="AG67" s="188"/>
      <c r="AH67" s="188"/>
      <c r="AI67" s="187"/>
      <c r="AJ67" s="187"/>
    </row>
    <row r="68" spans="1:36" ht="29.25" hidden="1" customHeight="1" outlineLevel="1" x14ac:dyDescent="0.35">
      <c r="A68" s="286"/>
      <c r="B68" s="287"/>
      <c r="C68" s="287"/>
      <c r="D68" s="287"/>
      <c r="E68" s="288"/>
      <c r="F68" s="287"/>
      <c r="G68" s="287"/>
      <c r="H68" s="281"/>
      <c r="I68" s="280"/>
      <c r="J68" s="279"/>
      <c r="K68" s="280">
        <f>IF(NOT(ISERROR(MATCH(J68,_xlfn.ANCHORARRAY(#REF!),0))),#REF!&amp;"Por favor no seleccionar los criterios de impacto",J68)</f>
        <v>0</v>
      </c>
      <c r="L68" s="281"/>
      <c r="M68" s="280"/>
      <c r="N68" s="281"/>
      <c r="O68" s="180">
        <v>5</v>
      </c>
      <c r="P68" s="181"/>
      <c r="Q68" s="182" t="str">
        <f t="shared" si="33"/>
        <v/>
      </c>
      <c r="R68" s="183"/>
      <c r="S68" s="183"/>
      <c r="T68" s="184" t="str">
        <f t="shared" si="30"/>
        <v/>
      </c>
      <c r="U68" s="183"/>
      <c r="V68" s="183"/>
      <c r="W68" s="183"/>
      <c r="X68" s="185" t="str">
        <f t="shared" si="34"/>
        <v/>
      </c>
      <c r="Y68" s="186" t="str">
        <f t="shared" si="1"/>
        <v/>
      </c>
      <c r="Z68" s="184" t="str">
        <f t="shared" si="31"/>
        <v/>
      </c>
      <c r="AA68" s="186" t="str">
        <f t="shared" si="3"/>
        <v/>
      </c>
      <c r="AB68" s="184" t="str">
        <f t="shared" si="35"/>
        <v/>
      </c>
      <c r="AC68" s="186" t="str">
        <f t="shared" ref="AC68:AC69" si="36">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3"/>
      <c r="AE68" s="187"/>
      <c r="AF68" s="187"/>
      <c r="AG68" s="188"/>
      <c r="AH68" s="188"/>
      <c r="AI68" s="187"/>
      <c r="AJ68" s="187"/>
    </row>
    <row r="69" spans="1:36" ht="3.75" hidden="1" customHeight="1" outlineLevel="1" x14ac:dyDescent="0.35">
      <c r="A69" s="286"/>
      <c r="B69" s="287"/>
      <c r="C69" s="287"/>
      <c r="D69" s="287"/>
      <c r="E69" s="288"/>
      <c r="F69" s="287"/>
      <c r="G69" s="287"/>
      <c r="H69" s="281"/>
      <c r="I69" s="280"/>
      <c r="J69" s="279"/>
      <c r="K69" s="280">
        <f>IF(NOT(ISERROR(MATCH(J69,_xlfn.ANCHORARRAY(#REF!),0))),#REF!&amp;"Por favor no seleccionar los criterios de impacto",J69)</f>
        <v>0</v>
      </c>
      <c r="L69" s="281"/>
      <c r="M69" s="280"/>
      <c r="N69" s="281"/>
      <c r="O69" s="189">
        <v>6</v>
      </c>
      <c r="P69" s="190"/>
      <c r="Q69" s="191" t="str">
        <f t="shared" si="33"/>
        <v/>
      </c>
      <c r="R69" s="192"/>
      <c r="S69" s="192"/>
      <c r="T69" s="193" t="str">
        <f t="shared" si="30"/>
        <v/>
      </c>
      <c r="U69" s="192"/>
      <c r="V69" s="192"/>
      <c r="W69" s="192"/>
      <c r="X69" s="194" t="str">
        <f t="shared" si="34"/>
        <v/>
      </c>
      <c r="Y69" s="195" t="str">
        <f t="shared" si="1"/>
        <v/>
      </c>
      <c r="Z69" s="193" t="str">
        <f t="shared" si="31"/>
        <v/>
      </c>
      <c r="AA69" s="195" t="str">
        <f t="shared" si="3"/>
        <v/>
      </c>
      <c r="AB69" s="193" t="str">
        <f t="shared" si="35"/>
        <v/>
      </c>
      <c r="AC69" s="195" t="str">
        <f t="shared" si="36"/>
        <v/>
      </c>
      <c r="AD69" s="192"/>
      <c r="AE69" s="196"/>
      <c r="AF69" s="196"/>
      <c r="AG69" s="197"/>
      <c r="AH69" s="197"/>
      <c r="AI69" s="196"/>
      <c r="AJ69" s="196"/>
    </row>
    <row r="70" spans="1:36" s="117" customFormat="1" ht="54" customHeight="1" collapsed="1" x14ac:dyDescent="0.35">
      <c r="A70" s="198"/>
      <c r="B70" s="298" t="s">
        <v>220</v>
      </c>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row>
    <row r="71" spans="1:36" s="117" customFormat="1" x14ac:dyDescent="0.35">
      <c r="B71" s="199" t="s">
        <v>142</v>
      </c>
    </row>
    <row r="72" spans="1:36" s="117" customFormat="1" x14ac:dyDescent="0.35">
      <c r="B72" s="200"/>
    </row>
    <row r="73" spans="1:36" s="117" customFormat="1" x14ac:dyDescent="0.35">
      <c r="B73" s="200"/>
    </row>
    <row r="74" spans="1:36" s="117" customFormat="1" x14ac:dyDescent="0.35">
      <c r="B74" s="200"/>
    </row>
    <row r="75" spans="1:36" s="117" customFormat="1" x14ac:dyDescent="0.35">
      <c r="B75" s="200"/>
    </row>
    <row r="76" spans="1:36" s="117" customFormat="1" x14ac:dyDescent="0.35">
      <c r="A76" s="198"/>
      <c r="B76" s="198"/>
      <c r="C76" s="198"/>
      <c r="D76" s="198"/>
      <c r="F76" s="201"/>
    </row>
    <row r="77" spans="1:36" s="203" customFormat="1" ht="38.25" customHeight="1" x14ac:dyDescent="0.25">
      <c r="A77" s="202"/>
      <c r="B77" s="202"/>
      <c r="C77" s="202"/>
      <c r="D77" s="202"/>
      <c r="E77" s="202" t="s">
        <v>213</v>
      </c>
      <c r="F77" s="202"/>
      <c r="G77" s="202"/>
      <c r="I77" s="202"/>
      <c r="J77" s="202"/>
      <c r="K77" s="202"/>
      <c r="M77" s="202" t="s">
        <v>215</v>
      </c>
      <c r="N77" s="202"/>
      <c r="P77" s="204"/>
      <c r="Q77" s="203" t="s">
        <v>231</v>
      </c>
    </row>
  </sheetData>
  <dataConsolidate/>
  <mergeCells count="131">
    <mergeCell ref="J58:J63"/>
    <mergeCell ref="K58:K63"/>
    <mergeCell ref="L58:L63"/>
    <mergeCell ref="K52:K57"/>
    <mergeCell ref="B70:AJ70"/>
    <mergeCell ref="I16:I17"/>
    <mergeCell ref="J16:J17"/>
    <mergeCell ref="L16:L17"/>
    <mergeCell ref="M16:M17"/>
    <mergeCell ref="N16:N17"/>
    <mergeCell ref="O16:O17"/>
    <mergeCell ref="Q16:Q17"/>
    <mergeCell ref="R16:R17"/>
    <mergeCell ref="S16:S17"/>
    <mergeCell ref="T16:T17"/>
    <mergeCell ref="U16:U17"/>
    <mergeCell ref="V16:V17"/>
    <mergeCell ref="AH16:AH17"/>
    <mergeCell ref="AI16:AI17"/>
    <mergeCell ref="AD16:AD17"/>
    <mergeCell ref="C16:C17"/>
    <mergeCell ref="D16:D17"/>
    <mergeCell ref="E16:E17"/>
    <mergeCell ref="F16:F17"/>
    <mergeCell ref="A1:AJ2"/>
    <mergeCell ref="A7:G7"/>
    <mergeCell ref="H7:N7"/>
    <mergeCell ref="O7:W7"/>
    <mergeCell ref="X7:AD7"/>
    <mergeCell ref="AE7:AJ7"/>
    <mergeCell ref="M58:M63"/>
    <mergeCell ref="N58:N63"/>
    <mergeCell ref="AE16:AE17"/>
    <mergeCell ref="AF16:AF17"/>
    <mergeCell ref="I58:I63"/>
    <mergeCell ref="K46:K51"/>
    <mergeCell ref="K40:K45"/>
    <mergeCell ref="K28:K33"/>
    <mergeCell ref="K22:K27"/>
    <mergeCell ref="P18:P19"/>
    <mergeCell ref="AI22:AI23"/>
    <mergeCell ref="AI28:AI29"/>
    <mergeCell ref="AI34:AI35"/>
    <mergeCell ref="AI40:AI41"/>
    <mergeCell ref="AH22:AH23"/>
    <mergeCell ref="AG28:AG29"/>
    <mergeCell ref="A64:A69"/>
    <mergeCell ref="B64:B69"/>
    <mergeCell ref="C64:C69"/>
    <mergeCell ref="D64:D69"/>
    <mergeCell ref="E64:E69"/>
    <mergeCell ref="F64:F69"/>
    <mergeCell ref="G64:G69"/>
    <mergeCell ref="H64:H69"/>
    <mergeCell ref="I64:I69"/>
    <mergeCell ref="J64:J69"/>
    <mergeCell ref="K64:K69"/>
    <mergeCell ref="L64:L69"/>
    <mergeCell ref="M64:M69"/>
    <mergeCell ref="AB16:AB17"/>
    <mergeCell ref="AC16:AC17"/>
    <mergeCell ref="N64:N69"/>
    <mergeCell ref="A16:A17"/>
    <mergeCell ref="P16:P17"/>
    <mergeCell ref="B16:B17"/>
    <mergeCell ref="G16:G17"/>
    <mergeCell ref="H16:H17"/>
    <mergeCell ref="W16:W17"/>
    <mergeCell ref="Y16:Y17"/>
    <mergeCell ref="Z16:Z17"/>
    <mergeCell ref="AA16:AA17"/>
    <mergeCell ref="A58:A63"/>
    <mergeCell ref="B58:B63"/>
    <mergeCell ref="C58:C63"/>
    <mergeCell ref="D58:D63"/>
    <mergeCell ref="E58:E63"/>
    <mergeCell ref="F58:F63"/>
    <mergeCell ref="G58:G63"/>
    <mergeCell ref="H58:H63"/>
    <mergeCell ref="K34:K39"/>
    <mergeCell ref="AE8:AE9"/>
    <mergeCell ref="AJ8:AJ9"/>
    <mergeCell ref="AI8:AI9"/>
    <mergeCell ref="AH8:AH9"/>
    <mergeCell ref="AG8:AG9"/>
    <mergeCell ref="AF8:AF9"/>
    <mergeCell ref="L8:L9"/>
    <mergeCell ref="M8:M9"/>
    <mergeCell ref="AI10:AI11"/>
    <mergeCell ref="K8:K9"/>
    <mergeCell ref="Q8:Q9"/>
    <mergeCell ref="Y8:Y9"/>
    <mergeCell ref="N8:N9"/>
    <mergeCell ref="AH28:AH29"/>
    <mergeCell ref="AG34:AG35"/>
    <mergeCell ref="AH34:AH35"/>
    <mergeCell ref="AH40:AH41"/>
    <mergeCell ref="AG40:AG41"/>
    <mergeCell ref="AJ16:AJ17"/>
    <mergeCell ref="AG16:AG17"/>
    <mergeCell ref="Z8:Z9"/>
    <mergeCell ref="S3:AF3"/>
    <mergeCell ref="S4:AF4"/>
    <mergeCell ref="R8:W8"/>
    <mergeCell ref="AF22:AF23"/>
    <mergeCell ref="AG22:AG23"/>
    <mergeCell ref="AD8:AD9"/>
    <mergeCell ref="AC8:AC9"/>
    <mergeCell ref="AB8:AB9"/>
    <mergeCell ref="X8:X9"/>
    <mergeCell ref="AA8:AA9"/>
    <mergeCell ref="S5:AF5"/>
    <mergeCell ref="S6:AF6"/>
    <mergeCell ref="C5:Q5"/>
    <mergeCell ref="C6:Q6"/>
    <mergeCell ref="C4:Q4"/>
    <mergeCell ref="A4:B4"/>
    <mergeCell ref="A5:B5"/>
    <mergeCell ref="A6:B6"/>
    <mergeCell ref="A8:A9"/>
    <mergeCell ref="F8:F9"/>
    <mergeCell ref="E8:E9"/>
    <mergeCell ref="D8:D9"/>
    <mergeCell ref="C8:C9"/>
    <mergeCell ref="B8:B9"/>
    <mergeCell ref="O8:O9"/>
    <mergeCell ref="P8:P9"/>
    <mergeCell ref="G8:G9"/>
    <mergeCell ref="H8:H9"/>
    <mergeCell ref="I8:I9"/>
    <mergeCell ref="J8:J9"/>
  </mergeCells>
  <conditionalFormatting sqref="H10 H16">
    <cfRule type="cellIs" dxfId="122" priority="322" operator="equal">
      <formula>"Baja"</formula>
    </cfRule>
    <cfRule type="cellIs" dxfId="121" priority="321" operator="equal">
      <formula>"Media"</formula>
    </cfRule>
    <cfRule type="cellIs" dxfId="120" priority="320" operator="equal">
      <formula>"Alta"</formula>
    </cfRule>
    <cfRule type="cellIs" dxfId="119" priority="323" operator="equal">
      <formula>"Muy Baja"</formula>
    </cfRule>
    <cfRule type="cellIs" dxfId="118" priority="319" operator="equal">
      <formula>"Muy Alta"</formula>
    </cfRule>
  </conditionalFormatting>
  <conditionalFormatting sqref="H22">
    <cfRule type="cellIs" dxfId="117" priority="223" operator="equal">
      <formula>"Media"</formula>
    </cfRule>
    <cfRule type="cellIs" dxfId="116" priority="224" operator="equal">
      <formula>"Baja"</formula>
    </cfRule>
    <cfRule type="cellIs" dxfId="115" priority="225" operator="equal">
      <formula>"Muy Baja"</formula>
    </cfRule>
    <cfRule type="cellIs" dxfId="114" priority="221" operator="equal">
      <formula>"Muy Alta"</formula>
    </cfRule>
    <cfRule type="cellIs" dxfId="113" priority="222" operator="equal">
      <formula>"Alta"</formula>
    </cfRule>
  </conditionalFormatting>
  <conditionalFormatting sqref="H28">
    <cfRule type="cellIs" dxfId="112" priority="193" operator="equal">
      <formula>"Muy Alta"</formula>
    </cfRule>
    <cfRule type="cellIs" dxfId="111" priority="194" operator="equal">
      <formula>"Alta"</formula>
    </cfRule>
    <cfRule type="cellIs" dxfId="110" priority="195" operator="equal">
      <formula>"Media"</formula>
    </cfRule>
    <cfRule type="cellIs" dxfId="109" priority="196" operator="equal">
      <formula>"Baja"</formula>
    </cfRule>
    <cfRule type="cellIs" dxfId="108" priority="197" operator="equal">
      <formula>"Muy Baja"</formula>
    </cfRule>
  </conditionalFormatting>
  <conditionalFormatting sqref="H34">
    <cfRule type="cellIs" dxfId="107" priority="165" operator="equal">
      <formula>"Muy Alta"</formula>
    </cfRule>
    <cfRule type="cellIs" dxfId="106" priority="167" operator="equal">
      <formula>"Media"</formula>
    </cfRule>
    <cfRule type="cellIs" dxfId="105" priority="166" operator="equal">
      <formula>"Alta"</formula>
    </cfRule>
    <cfRule type="cellIs" dxfId="104" priority="169" operator="equal">
      <formula>"Muy Baja"</formula>
    </cfRule>
    <cfRule type="cellIs" dxfId="103" priority="168" operator="equal">
      <formula>"Baja"</formula>
    </cfRule>
  </conditionalFormatting>
  <conditionalFormatting sqref="H40">
    <cfRule type="cellIs" dxfId="102" priority="140" operator="equal">
      <formula>"Baja"</formula>
    </cfRule>
    <cfRule type="cellIs" dxfId="101" priority="141" operator="equal">
      <formula>"Muy Baja"</formula>
    </cfRule>
    <cfRule type="cellIs" dxfId="100" priority="139" operator="equal">
      <formula>"Media"</formula>
    </cfRule>
    <cfRule type="cellIs" dxfId="99" priority="138" operator="equal">
      <formula>"Alta"</formula>
    </cfRule>
    <cfRule type="cellIs" dxfId="98" priority="137" operator="equal">
      <formula>"Muy Alta"</formula>
    </cfRule>
  </conditionalFormatting>
  <conditionalFormatting sqref="H46">
    <cfRule type="cellIs" dxfId="97" priority="109" operator="equal">
      <formula>"Muy Alta"</formula>
    </cfRule>
    <cfRule type="cellIs" dxfId="96" priority="110" operator="equal">
      <formula>"Alta"</formula>
    </cfRule>
    <cfRule type="cellIs" dxfId="95" priority="111" operator="equal">
      <formula>"Media"</formula>
    </cfRule>
    <cfRule type="cellIs" dxfId="94" priority="112" operator="equal">
      <formula>"Baja"</formula>
    </cfRule>
    <cfRule type="cellIs" dxfId="93" priority="113" operator="equal">
      <formula>"Muy Baja"</formula>
    </cfRule>
  </conditionalFormatting>
  <conditionalFormatting sqref="H52">
    <cfRule type="cellIs" dxfId="92" priority="81" operator="equal">
      <formula>"Muy Alta"</formula>
    </cfRule>
    <cfRule type="cellIs" dxfId="91" priority="82" operator="equal">
      <formula>"Alta"</formula>
    </cfRule>
    <cfRule type="cellIs" dxfId="90" priority="84" operator="equal">
      <formula>"Baja"</formula>
    </cfRule>
    <cfRule type="cellIs" dxfId="89" priority="85" operator="equal">
      <formula>"Muy Baja"</formula>
    </cfRule>
    <cfRule type="cellIs" dxfId="88" priority="83" operator="equal">
      <formula>"Media"</formula>
    </cfRule>
  </conditionalFormatting>
  <conditionalFormatting sqref="H58">
    <cfRule type="cellIs" dxfId="87" priority="54" operator="equal">
      <formula>"Alta"</formula>
    </cfRule>
    <cfRule type="cellIs" dxfId="86" priority="55" operator="equal">
      <formula>"Media"</formula>
    </cfRule>
    <cfRule type="cellIs" dxfId="85" priority="56" operator="equal">
      <formula>"Baja"</formula>
    </cfRule>
    <cfRule type="cellIs" dxfId="84" priority="57" operator="equal">
      <formula>"Muy Baja"</formula>
    </cfRule>
    <cfRule type="cellIs" dxfId="83" priority="53" operator="equal">
      <formula>"Muy Alta"</formula>
    </cfRule>
  </conditionalFormatting>
  <conditionalFormatting sqref="H64">
    <cfRule type="cellIs" dxfId="82" priority="29" operator="equal">
      <formula>"Muy Baja"</formula>
    </cfRule>
    <cfRule type="cellIs" dxfId="81" priority="27" operator="equal">
      <formula>"Media"</formula>
    </cfRule>
    <cfRule type="cellIs" dxfId="80" priority="26" operator="equal">
      <formula>"Alta"</formula>
    </cfRule>
    <cfRule type="cellIs" dxfId="79" priority="25" operator="equal">
      <formula>"Muy Alta"</formula>
    </cfRule>
    <cfRule type="cellIs" dxfId="78" priority="28" operator="equal">
      <formula>"Baja"</formula>
    </cfRule>
  </conditionalFormatting>
  <conditionalFormatting sqref="K10:K69">
    <cfRule type="containsText" dxfId="77" priority="1" operator="containsText" text="❌">
      <formula>NOT(ISERROR(SEARCH("❌",K10)))</formula>
    </cfRule>
  </conditionalFormatting>
  <conditionalFormatting sqref="L10 L16 L22 L28 L34 L40 L46 L52 L58 L64">
    <cfRule type="cellIs" dxfId="76" priority="314" operator="equal">
      <formula>"Catastrófico"</formula>
    </cfRule>
    <cfRule type="cellIs" dxfId="75" priority="317" operator="equal">
      <formula>"Menor"</formula>
    </cfRule>
    <cfRule type="cellIs" dxfId="74" priority="315" operator="equal">
      <formula>"Mayor"</formula>
    </cfRule>
    <cfRule type="cellIs" dxfId="73" priority="316" operator="equal">
      <formula>"Moderado"</formula>
    </cfRule>
    <cfRule type="cellIs" dxfId="72" priority="318" operator="equal">
      <formula>"Leve"</formula>
    </cfRule>
  </conditionalFormatting>
  <conditionalFormatting sqref="N10">
    <cfRule type="cellIs" dxfId="71" priority="312" operator="equal">
      <formula>"Moderado"</formula>
    </cfRule>
    <cfRule type="cellIs" dxfId="70" priority="311" operator="equal">
      <formula>"Alto"</formula>
    </cfRule>
    <cfRule type="cellIs" dxfId="69" priority="310" operator="equal">
      <formula>"Extremo"</formula>
    </cfRule>
    <cfRule type="cellIs" dxfId="68" priority="313" operator="equal">
      <formula>"Bajo"</formula>
    </cfRule>
  </conditionalFormatting>
  <conditionalFormatting sqref="N16">
    <cfRule type="cellIs" dxfId="67" priority="242" operator="equal">
      <formula>"Moderado"</formula>
    </cfRule>
    <cfRule type="cellIs" dxfId="66" priority="243" operator="equal">
      <formula>"Bajo"</formula>
    </cfRule>
    <cfRule type="cellIs" dxfId="65" priority="241" operator="equal">
      <formula>"Alto"</formula>
    </cfRule>
    <cfRule type="cellIs" dxfId="64" priority="240" operator="equal">
      <formula>"Extremo"</formula>
    </cfRule>
  </conditionalFormatting>
  <conditionalFormatting sqref="N22">
    <cfRule type="cellIs" dxfId="63" priority="214" operator="equal">
      <formula>"Moderado"</formula>
    </cfRule>
    <cfRule type="cellIs" dxfId="62" priority="213" operator="equal">
      <formula>"Alto"</formula>
    </cfRule>
    <cfRule type="cellIs" dxfId="61" priority="212" operator="equal">
      <formula>"Extremo"</formula>
    </cfRule>
    <cfRule type="cellIs" dxfId="60" priority="215" operator="equal">
      <formula>"Bajo"</formula>
    </cfRule>
  </conditionalFormatting>
  <conditionalFormatting sqref="N28">
    <cfRule type="cellIs" dxfId="59" priority="187" operator="equal">
      <formula>"Bajo"</formula>
    </cfRule>
    <cfRule type="cellIs" dxfId="58" priority="186" operator="equal">
      <formula>"Moderado"</formula>
    </cfRule>
    <cfRule type="cellIs" dxfId="57" priority="185" operator="equal">
      <formula>"Alto"</formula>
    </cfRule>
    <cfRule type="cellIs" dxfId="56" priority="184" operator="equal">
      <formula>"Extremo"</formula>
    </cfRule>
  </conditionalFormatting>
  <conditionalFormatting sqref="N34">
    <cfRule type="cellIs" dxfId="55" priority="156" operator="equal">
      <formula>"Extremo"</formula>
    </cfRule>
    <cfRule type="cellIs" dxfId="54" priority="157" operator="equal">
      <formula>"Alto"</formula>
    </cfRule>
    <cfRule type="cellIs" dxfId="53" priority="158" operator="equal">
      <formula>"Moderado"</formula>
    </cfRule>
    <cfRule type="cellIs" dxfId="52" priority="159" operator="equal">
      <formula>"Bajo"</formula>
    </cfRule>
  </conditionalFormatting>
  <conditionalFormatting sqref="N40">
    <cfRule type="cellIs" dxfId="51" priority="128" operator="equal">
      <formula>"Extremo"</formula>
    </cfRule>
    <cfRule type="cellIs" dxfId="50" priority="131" operator="equal">
      <formula>"Bajo"</formula>
    </cfRule>
    <cfRule type="cellIs" dxfId="49" priority="130" operator="equal">
      <formula>"Moderado"</formula>
    </cfRule>
    <cfRule type="cellIs" dxfId="48" priority="129" operator="equal">
      <formula>"Alto"</formula>
    </cfRule>
  </conditionalFormatting>
  <conditionalFormatting sqref="N46">
    <cfRule type="cellIs" dxfId="47" priority="100" operator="equal">
      <formula>"Extremo"</formula>
    </cfRule>
    <cfRule type="cellIs" dxfId="46" priority="103" operator="equal">
      <formula>"Bajo"</formula>
    </cfRule>
    <cfRule type="cellIs" dxfId="45" priority="102" operator="equal">
      <formula>"Moderado"</formula>
    </cfRule>
    <cfRule type="cellIs" dxfId="44" priority="101" operator="equal">
      <formula>"Alto"</formula>
    </cfRule>
  </conditionalFormatting>
  <conditionalFormatting sqref="N52">
    <cfRule type="cellIs" dxfId="43" priority="75" operator="equal">
      <formula>"Bajo"</formula>
    </cfRule>
    <cfRule type="cellIs" dxfId="42" priority="74" operator="equal">
      <formula>"Moderado"</formula>
    </cfRule>
    <cfRule type="cellIs" dxfId="41" priority="73" operator="equal">
      <formula>"Alto"</formula>
    </cfRule>
    <cfRule type="cellIs" dxfId="40" priority="72" operator="equal">
      <formula>"Extremo"</formula>
    </cfRule>
  </conditionalFormatting>
  <conditionalFormatting sqref="N58">
    <cfRule type="cellIs" dxfId="39" priority="45" operator="equal">
      <formula>"Alto"</formula>
    </cfRule>
    <cfRule type="cellIs" dxfId="38" priority="47" operator="equal">
      <formula>"Bajo"</formula>
    </cfRule>
    <cfRule type="cellIs" dxfId="37" priority="46" operator="equal">
      <formula>"Moderado"</formula>
    </cfRule>
    <cfRule type="cellIs" dxfId="36" priority="44" operator="equal">
      <formula>"Extremo"</formula>
    </cfRule>
  </conditionalFormatting>
  <conditionalFormatting sqref="N64">
    <cfRule type="cellIs" dxfId="35" priority="16" operator="equal">
      <formula>"Extremo"</formula>
    </cfRule>
    <cfRule type="cellIs" dxfId="34" priority="19" operator="equal">
      <formula>"Bajo"</formula>
    </cfRule>
    <cfRule type="cellIs" dxfId="33" priority="18" operator="equal">
      <formula>"Moderado"</formula>
    </cfRule>
    <cfRule type="cellIs" dxfId="32" priority="17" operator="equal">
      <formula>"Alto"</formula>
    </cfRule>
  </conditionalFormatting>
  <conditionalFormatting sqref="Y10:Y16">
    <cfRule type="cellIs" dxfId="31" priority="238" operator="equal">
      <formula>"Baja"</formula>
    </cfRule>
    <cfRule type="cellIs" dxfId="30" priority="239" operator="equal">
      <formula>"Muy Baja"</formula>
    </cfRule>
    <cfRule type="cellIs" dxfId="29" priority="235" operator="equal">
      <formula>"Muy Alta"</formula>
    </cfRule>
    <cfRule type="cellIs" dxfId="28" priority="236" operator="equal">
      <formula>"Alta"</formula>
    </cfRule>
    <cfRule type="cellIs" dxfId="27" priority="237" operator="equal">
      <formula>"Media"</formula>
    </cfRule>
  </conditionalFormatting>
  <conditionalFormatting sqref="Y18:Y69">
    <cfRule type="cellIs" dxfId="26" priority="15" operator="equal">
      <formula>"Muy Baja"</formula>
    </cfRule>
    <cfRule type="cellIs" dxfId="25" priority="14" operator="equal">
      <formula>"Baja"</formula>
    </cfRule>
    <cfRule type="cellIs" dxfId="24" priority="13" operator="equal">
      <formula>"Media"</formula>
    </cfRule>
    <cfRule type="cellIs" dxfId="23" priority="11" operator="equal">
      <formula>"Muy Alta"</formula>
    </cfRule>
    <cfRule type="cellIs" dxfId="22" priority="12" operator="equal">
      <formula>"Alta"</formula>
    </cfRule>
  </conditionalFormatting>
  <conditionalFormatting sqref="AA10:AA16">
    <cfRule type="cellIs" dxfId="21" priority="230" operator="equal">
      <formula>"Catastrófico"</formula>
    </cfRule>
    <cfRule type="cellIs" dxfId="20" priority="231" operator="equal">
      <formula>"Mayor"</formula>
    </cfRule>
    <cfRule type="cellIs" dxfId="19" priority="232" operator="equal">
      <formula>"Moderado"</formula>
    </cfRule>
    <cfRule type="cellIs" dxfId="18" priority="233" operator="equal">
      <formula>"Menor"</formula>
    </cfRule>
    <cfRule type="cellIs" dxfId="17" priority="234" operator="equal">
      <formula>"Leve"</formula>
    </cfRule>
  </conditionalFormatting>
  <conditionalFormatting sqref="AA18:AA69">
    <cfRule type="cellIs" dxfId="16" priority="10" operator="equal">
      <formula>"Leve"</formula>
    </cfRule>
    <cfRule type="cellIs" dxfId="15" priority="9" operator="equal">
      <formula>"Menor"</formula>
    </cfRule>
    <cfRule type="cellIs" dxfId="14" priority="8" operator="equal">
      <formula>"Moderado"</formula>
    </cfRule>
    <cfRule type="cellIs" dxfId="13" priority="7" operator="equal">
      <formula>"Mayor"</formula>
    </cfRule>
    <cfRule type="cellIs" dxfId="12" priority="6" operator="equal">
      <formula>"Catastrófico"</formula>
    </cfRule>
  </conditionalFormatting>
  <conditionalFormatting sqref="AC10:AC16">
    <cfRule type="cellIs" dxfId="11" priority="226" operator="equal">
      <formula>"Extremo"</formula>
    </cfRule>
    <cfRule type="cellIs" dxfId="10" priority="227" operator="equal">
      <formula>"Alto"</formula>
    </cfRule>
    <cfRule type="cellIs" dxfId="9" priority="228" operator="equal">
      <formula>"Moderado"</formula>
    </cfRule>
    <cfRule type="cellIs" dxfId="8" priority="229" operator="equal">
      <formula>"Bajo"</formula>
    </cfRule>
  </conditionalFormatting>
  <conditionalFormatting sqref="AC18: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dataValidations count="2">
    <dataValidation allowBlank="1" showInputMessage="1" showErrorMessage="1" prompt="Recuerde que las acciones se generan bajo la medida de mitigar el riesgo" sqref="AG16 AH16:AH17 AG22 AH22:AH23 AG28 AH28:AH29 AG34 AH34:AH35 AH40:AH41 AG40" xr:uid="{AD1425E4-E003-41B4-B8A5-48ED32B7BE6B}"/>
    <dataValidation allowBlank="1" showInputMessage="1" showErrorMessage="1" error="Recuerde que las acciones se generan bajo la medida de mitigar el riesgo" sqref="AE34 AE40 AE22 AE16:AE17 AE28 AE10" xr:uid="{4B69E062-E478-46FC-9410-030DEB9D967D}"/>
  </dataValidations>
  <printOptions horizontalCentered="1"/>
  <pageMargins left="0.31496062992125984" right="0.31496062992125984" top="0.35433070866141736" bottom="0.35433070866141736" header="0.31496062992125984" footer="0.31496062992125984"/>
  <pageSetup paperSize="14" scale="17" orientation="landscape" r:id="rId1"/>
  <ignoredErrors>
    <ignoredError sqref="AB12" formula="1"/>
  </ignoredErrors>
  <drawing r:id="rId2"/>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100-000000000000}">
          <x14:formula1>
            <xm:f>'Tabla Valoración controles'!$D$4:$D$6</xm:f>
          </x14:formula1>
          <xm:sqref>R10:R16 R18:R69</xm:sqref>
        </x14:dataValidation>
        <x14:dataValidation type="list" allowBlank="1" showInputMessage="1" showErrorMessage="1" xr:uid="{00000000-0002-0000-0100-000001000000}">
          <x14:formula1>
            <xm:f>'Tabla Valoración controles'!$D$7:$D$8</xm:f>
          </x14:formula1>
          <xm:sqref>S10:S16 S18:S69</xm:sqref>
        </x14:dataValidation>
        <x14:dataValidation type="list" allowBlank="1" showInputMessage="1" showErrorMessage="1" xr:uid="{00000000-0002-0000-0100-000002000000}">
          <x14:formula1>
            <xm:f>'Tabla Valoración controles'!$D$9:$D$10</xm:f>
          </x14:formula1>
          <xm:sqref>U10:U16 U18:U69</xm:sqref>
        </x14:dataValidation>
        <x14:dataValidation type="list" allowBlank="1" showInputMessage="1" showErrorMessage="1" xr:uid="{00000000-0002-0000-0100-000003000000}">
          <x14:formula1>
            <xm:f>'Tabla Valoración controles'!$D$11:$D$12</xm:f>
          </x14:formula1>
          <xm:sqref>V10:V16 V18:V69</xm:sqref>
        </x14:dataValidation>
        <x14:dataValidation type="list" allowBlank="1" showInputMessage="1" showErrorMessage="1" xr:uid="{00000000-0002-0000-0100-000004000000}">
          <x14:formula1>
            <xm:f>'Opciones Tratamiento'!$B$9:$B$10</xm:f>
          </x14:formula1>
          <xm:sqref>AJ10:AJ11 AJ13:AJ14 AJ67:AJ68 AJ19:AJ20 AJ22:AJ23 AJ25:AJ26 AJ28:AJ29 AJ31:AJ32 AJ34:AJ35 AJ37:AJ38 AJ40:AJ41 AJ43:AJ44 AJ46:AJ47 AJ49:AJ50 AJ52:AJ53 AJ55:AJ56 AJ58:AJ59 AJ61:AJ62 AJ64:AJ65 AJ16</xm:sqref>
        </x14:dataValidation>
        <x14:dataValidation type="list" allowBlank="1" showInputMessage="1" showErrorMessage="1" xr:uid="{00000000-0002-0000-0100-000005000000}">
          <x14:formula1>
            <xm:f>'Tabla Valoración controles'!$D$13:$D$14</xm:f>
          </x14:formula1>
          <xm:sqref>W10:W16 W18:W69</xm:sqref>
        </x14:dataValidation>
        <x14:dataValidation type="list" allowBlank="1" showInputMessage="1" showErrorMessage="1" xr:uid="{00000000-0002-0000-0100-000006000000}">
          <x14:formula1>
            <xm:f>'Opciones Tratamiento'!$B$13:$B$19</xm:f>
          </x14:formula1>
          <xm:sqref>F10:F16 F18:F69</xm:sqref>
        </x14:dataValidation>
        <x14:dataValidation type="list" allowBlank="1" showInputMessage="1" showErrorMessage="1" xr:uid="{00000000-0002-0000-0100-000007000000}">
          <x14:formula1>
            <xm:f>'Opciones Tratamiento'!$E$2:$E$4</xm:f>
          </x14:formula1>
          <xm:sqref>B10:B16 B18:B69</xm:sqref>
        </x14:dataValidation>
        <x14:dataValidation type="list" allowBlank="1" showInputMessage="1" showErrorMessage="1" xr:uid="{00000000-0002-0000-0100-000008000000}">
          <x14:formula1>
            <xm:f>'Opciones Tratamiento'!$B$2:$B$5</xm:f>
          </x14:formula1>
          <xm:sqref>AD10:AD16 AD18:AD69</xm:sqref>
        </x14:dataValidation>
        <x14:dataValidation type="list" allowBlank="1" showInputMessage="1" showErrorMessage="1" xr:uid="{00000000-0002-0000-0100-000009000000}">
          <x14:formula1>
            <xm:f>'Tabla Impacto'!$F$210:$F$221</xm:f>
          </x14:formula1>
          <xm:sqref>J10:J16 J18:J69</xm:sqref>
        </x14:dataValidation>
        <x14:dataValidation type="custom" allowBlank="1" showInputMessage="1" showErrorMessage="1" error="Recuerde que las acciones se generan bajo la medida de mitigar el riesgo" xr:uid="{00000000-0002-0000-0100-00000A000000}">
          <x14:formula1>
            <xm:f>IF(OR(AD11='Opciones Tratamiento'!$B$2,AD11='Opciones Tratamiento'!$B$3,AD11='Opciones Tratamiento'!$B$4),ISBLANK(AD11),ISTEXT(AD11))</xm:f>
          </x14:formula1>
          <xm:sqref>AE11:AE15 AE18:AE21 AE24:AE27 AE30:AE33 AE36:AE39 AE41:AE69</xm:sqref>
        </x14:dataValidation>
        <x14:dataValidation type="custom" allowBlank="1" showInputMessage="1" showErrorMessage="1" error="Recuerde que las acciones se generan bajo la medida de mitigar el riesgo" xr:uid="{00000000-0002-0000-0100-00000B000000}">
          <x14:formula1>
            <xm:f>IF(OR(AD11='Opciones Tratamiento'!$B$2,AD11='Opciones Tratamiento'!$B$3,AD11='Opciones Tratamiento'!$B$4),ISBLANK(AD11),ISTEXT(AD11))</xm:f>
          </x14:formula1>
          <xm:sqref>AF11:AF15 AF18:AF21 AF24:AF27 AF30:AF33 AF36:AF39 AF41:AF69</xm:sqref>
        </x14:dataValidation>
        <x14:dataValidation type="custom" allowBlank="1" showInputMessage="1" showErrorMessage="1" error="Recuerde que las acciones se generan bajo la medida de mitigar el riesgo" xr:uid="{00000000-0002-0000-0100-00000C000000}">
          <x14:formula1>
            <xm:f>IF(OR(AD11='Opciones Tratamiento'!$B$2,AD11='Opciones Tratamiento'!$B$3,AD11='Opciones Tratamiento'!$B$4),ISBLANK(AD11),ISTEXT(AD11))</xm:f>
          </x14:formula1>
          <xm:sqref>AG11:AG15 AG18:AG21 AG24:AG27 AG30:AG33 AG36:AG39 AG42:AG69</xm:sqref>
        </x14:dataValidation>
        <x14:dataValidation type="custom" allowBlank="1" showInputMessage="1" showErrorMessage="1" error="Recuerde que las acciones se generan bajo la medida de mitigar el riesgo" xr:uid="{00000000-0002-0000-0100-00000D000000}">
          <x14:formula1>
            <xm:f>IF(OR(AD11='Opciones Tratamiento'!$B$2,AD11='Opciones Tratamiento'!$B$3,AD11='Opciones Tratamiento'!$B$4),ISBLANK(AD11),ISTEXT(AD11))</xm:f>
          </x14:formula1>
          <xm:sqref>AH11:AH15 AH18:AH21 AH24:AH27 AH30:AH33 AH36:AH39 AH42:AH69</xm:sqref>
        </x14:dataValidation>
        <x14:dataValidation type="custom" allowBlank="1" showInputMessage="1" showErrorMessage="1" error="Recuerde que las acciones se generan bajo la medida de mitigar el riesgo" xr:uid="{00000000-0002-0000-0100-00000E000000}">
          <x14:formula1>
            <xm:f>IF(OR(AD12='Opciones Tratamiento'!$B$2,AD12='Opciones Tratamiento'!$B$3,AD12='Opciones Tratamiento'!$B$4),ISBLANK(AD12),ISTEXT(AD12))</xm:f>
          </x14:formula1>
          <xm:sqref>AI12:AI15 AI18:AI21 AI24:AI27 AI30:AI33 AI36:AI39 AI42:AI69</xm:sqref>
        </x14:dataValidation>
        <x14:dataValidation type="custom" allowBlank="1" showInputMessage="1" showErrorMessage="1" error="Recuerde que las acciones se generan bajo la medida de mitigar el riesgo" xr:uid="{D8D5BBC4-9B3D-4BCC-AE03-7B6376143DF2}">
          <x14:formula1>
            <xm:f>IF(OR(AD10='D:\Users\JHANNIER\Desktop\[MAPA DE RIESGOS PROCESO GESTIÓN TALENTO HUMANO FINAL.xlsx]Opciones Tratamiento'!#REF!,AD10='D:\Users\JHANNIER\Desktop\[MAPA DE RIESGOS PROCESO GESTIÓN TALENTO HUMANO FINAL.xlsx]Opciones Tratamiento'!#REF!,AD10='D:\Users\JHANNIER\Desktop\[MAPA DE RIESGOS PROCESO GESTIÓN TALENTO HUMANO FINAL.xlsx]Opciones Tratamiento'!#REF!),ISBLANK(AD10),ISTEXT(AD10))</xm:f>
          </x14:formula1>
          <xm:sqref>AI10 AI34 AI22 AI16 AI28 AI40</xm:sqref>
        </x14:dataValidation>
        <x14:dataValidation type="custom" allowBlank="1" showInputMessage="1" showErrorMessage="1" error="Recuerde que las acciones se generan bajo la medida de mitigar el riesgo" xr:uid="{7832FDCC-7D00-4E7E-9A2F-A367023CE1FB}">
          <x14:formula1>
            <xm:f>IF(OR(AD22='D:\Users\JHANNIER\Desktop\[MAPA DE RIESGOS PROCESO GESTIÓN FINANCIERA FINAL.xlsx]Opciones Tratamiento'!#REF!,AD22='D:\Users\JHANNIER\Desktop\[MAPA DE RIESGOS PROCESO GESTIÓN FINANCIERA FINAL.xlsx]Opciones Tratamiento'!#REF!,AD22='D:\Users\JHANNIER\Desktop\[MAPA DE RIESGOS PROCESO GESTIÓN FINANCIERA FINAL.xlsx]Opciones Tratamiento'!#REF!),ISBLANK(AD22),ISTEXT(AD22))</xm:f>
          </x14:formula1>
          <xm:sqref>AF22</xm:sqref>
        </x14:dataValidation>
        <x14:dataValidation type="custom" allowBlank="1" showInputMessage="1" showErrorMessage="1" error="Recuerde que las acciones se generan bajo la medida de mitigar el riesgo" xr:uid="{8D2D78AE-D3FA-41D1-BD69-14196888AB85}">
          <x14:formula1>
            <xm:f>IF(OR(AC10='D:\Users\JHANNIER\Desktop\[MAPA DE RIESGOS PROCESO GESTIÓN FINANCIERA FINAL.xlsx]Opciones Tratamiento'!#REF!,AC10='D:\Users\JHANNIER\Desktop\[MAPA DE RIESGOS PROCESO GESTIÓN FINANCIERA FINAL.xlsx]Opciones Tratamiento'!#REF!,AC10='D:\Users\JHANNIER\Desktop\[MAPA DE RIESGOS PROCESO GESTIÓN FINANCIERA FINAL.xlsx]Opciones Tratamiento'!#REF!),ISBLANK(AC10),ISTEXT(AC10))</xm:f>
          </x14:formula1>
          <xm:sqref>AG10</xm:sqref>
        </x14:dataValidation>
        <x14:dataValidation type="custom" allowBlank="1" showInputMessage="1" showErrorMessage="1" error="Recuerde que las acciones se generan bajo la medida de mitigar el riesgo" xr:uid="{8C65ADF9-F837-4C1E-A526-4F9B2E174A3F}">
          <x14:formula1>
            <xm:f>IF(OR(AD10='D:\Users\JHANNIER\Desktop\IDM\MAPAS RIESGOS PARA PUBLICAR\[3. MAPA RIESGOS FINAL Y ACTUALIZADO GESTIÓN FINANCIERA.xlsx]Opciones Tratamiento'!#REF!,AD10='D:\Users\JHANNIER\Desktop\IDM\MAPAS RIESGOS PARA PUBLICAR\[3. MAPA RIESGOS FINAL Y ACTUALIZADO GESTIÓN FINANCIERA.xlsx]Opciones Tratamiento'!#REF!,AD10='D:\Users\JHANNIER\Desktop\IDM\MAPAS RIESGOS PARA PUBLICAR\[3. MAPA RIESGOS FINAL Y ACTUALIZADO GESTIÓN FINANCIERA.xlsx]Opciones Tratamiento'!#REF!),ISBLANK(AD10),ISTEXT(AD10))</xm:f>
          </x14:formula1>
          <xm:sqref>AH10</xm:sqref>
        </x14:dataValidation>
        <x14:dataValidation type="custom" allowBlank="1" showInputMessage="1" showErrorMessage="1" error="Recuerde que las acciones se generan bajo la medida de mitigar el riesgo" xr:uid="{5BD76FD4-81A1-46F7-87E4-0FF47BCE8568}">
          <x14:formula1>
            <xm:f>IF(OR(AD10='D:\Users\JHANNIER\Desktop\[MAPA DE RIESGOS PROCESO GESTIÓN FINANCIERA FINAL.xlsx]Opciones Tratamiento'!#REF!,AD10='D:\Users\JHANNIER\Desktop\[MAPA DE RIESGOS PROCESO GESTIÓN FINANCIERA FINAL.xlsx]Opciones Tratamiento'!#REF!,AD10='D:\Users\JHANNIER\Desktop\[MAPA DE RIESGOS PROCESO GESTIÓN FINANCIERA FINAL.xlsx]Opciones Tratamiento'!#REF!),ISBLANK(AD10),ISTEXT(AD10))</xm:f>
          </x14:formula1>
          <xm:sqref>AF10 AF16 AF28 AF34 AF40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32" zoomScaleNormal="32" workbookViewId="0">
      <selection activeCell="J38" sqref="J38:K39"/>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301" t="s">
        <v>160</v>
      </c>
      <c r="C2" s="301"/>
      <c r="D2" s="301"/>
      <c r="E2" s="301"/>
      <c r="F2" s="301"/>
      <c r="G2" s="301"/>
      <c r="H2" s="301"/>
      <c r="I2" s="301"/>
      <c r="J2" s="338" t="s">
        <v>2</v>
      </c>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301"/>
      <c r="C3" s="301"/>
      <c r="D3" s="301"/>
      <c r="E3" s="301"/>
      <c r="F3" s="301"/>
      <c r="G3" s="301"/>
      <c r="H3" s="301"/>
      <c r="I3" s="301"/>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301"/>
      <c r="C4" s="301"/>
      <c r="D4" s="301"/>
      <c r="E4" s="301"/>
      <c r="F4" s="301"/>
      <c r="G4" s="301"/>
      <c r="H4" s="301"/>
      <c r="I4" s="301"/>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349" t="s">
        <v>4</v>
      </c>
      <c r="C6" s="349"/>
      <c r="D6" s="350"/>
      <c r="E6" s="339" t="s">
        <v>116</v>
      </c>
      <c r="F6" s="340"/>
      <c r="G6" s="340"/>
      <c r="H6" s="340"/>
      <c r="I6" s="341"/>
      <c r="J6" s="335" t="str">
        <f>IF(AND('Mapa final'!$H$10="Muy Alta",'Mapa final'!$L$10="Leve"),CONCATENATE("R",'Mapa final'!$A$10),"")</f>
        <v/>
      </c>
      <c r="K6" s="336"/>
      <c r="L6" s="336" t="str">
        <f>IF(AND('Mapa final'!$H$16="Muy Alta",'Mapa final'!$L$16="Leve"),CONCATENATE("R",'Mapa final'!$A$16),"")</f>
        <v/>
      </c>
      <c r="M6" s="336"/>
      <c r="N6" s="336" t="str">
        <f>IF(AND('Mapa final'!$H$22="Muy Alta",'Mapa final'!$L$22="Leve"),CONCATENATE("R",'Mapa final'!$A$22),"")</f>
        <v/>
      </c>
      <c r="O6" s="337"/>
      <c r="P6" s="335" t="str">
        <f>IF(AND('Mapa final'!$H$10="Muy Alta",'Mapa final'!$L$10="Menor"),CONCATENATE("R",'Mapa final'!$A$10),"")</f>
        <v/>
      </c>
      <c r="Q6" s="336"/>
      <c r="R6" s="336" t="str">
        <f>IF(AND('Mapa final'!$H$16="Muy Alta",'Mapa final'!$L$16="Menor"),CONCATENATE("R",'Mapa final'!$A$16),"")</f>
        <v/>
      </c>
      <c r="S6" s="336"/>
      <c r="T6" s="336" t="str">
        <f>IF(AND('Mapa final'!$H$22="Muy Alta",'Mapa final'!$L$22="Menor"),CONCATENATE("R",'Mapa final'!$A$22),"")</f>
        <v/>
      </c>
      <c r="U6" s="337"/>
      <c r="V6" s="335" t="str">
        <f>IF(AND('Mapa final'!$H$10="Muy Alta",'Mapa final'!$L$10="Moderado"),CONCATENATE("R",'Mapa final'!$A$10),"")</f>
        <v/>
      </c>
      <c r="W6" s="336"/>
      <c r="X6" s="336" t="str">
        <f>IF(AND('Mapa final'!$H$16="Muy Alta",'Mapa final'!$L$16="Moderado"),CONCATENATE("R",'Mapa final'!$A$16),"")</f>
        <v/>
      </c>
      <c r="Y6" s="336"/>
      <c r="Z6" s="336" t="str">
        <f>IF(AND('Mapa final'!$H$22="Muy Alta",'Mapa final'!$L$22="Moderado"),CONCATENATE("R",'Mapa final'!$A$22),"")</f>
        <v/>
      </c>
      <c r="AA6" s="337"/>
      <c r="AB6" s="335" t="str">
        <f>IF(AND('Mapa final'!$H$10="Muy Alta",'Mapa final'!$L$10="Mayor"),CONCATENATE("R",'Mapa final'!$A$10),"")</f>
        <v/>
      </c>
      <c r="AC6" s="336"/>
      <c r="AD6" s="336" t="str">
        <f>IF(AND('Mapa final'!$H$16="Muy Alta",'Mapa final'!$L$16="Mayor"),CONCATENATE("R",'Mapa final'!$A$16),"")</f>
        <v/>
      </c>
      <c r="AE6" s="336"/>
      <c r="AF6" s="336" t="str">
        <f>IF(AND('Mapa final'!$H$22="Muy Alta",'Mapa final'!$L$22="Mayor"),CONCATENATE("R",'Mapa final'!$A$22),"")</f>
        <v/>
      </c>
      <c r="AG6" s="337"/>
      <c r="AH6" s="326" t="str">
        <f>IF(AND('Mapa final'!$H$10="Muy Alta",'Mapa final'!$L$10="Catastrófico"),CONCATENATE("R",'Mapa final'!$A$10),"")</f>
        <v/>
      </c>
      <c r="AI6" s="327"/>
      <c r="AJ6" s="327" t="str">
        <f>IF(AND('Mapa final'!$H$16="Muy Alta",'Mapa final'!$L$16="Catastrófico"),CONCATENATE("R",'Mapa final'!$A$16),"")</f>
        <v/>
      </c>
      <c r="AK6" s="327"/>
      <c r="AL6" s="327" t="str">
        <f>IF(AND('Mapa final'!$H$22="Muy Alta",'Mapa final'!$L$22="Catastrófico"),CONCATENATE("R",'Mapa final'!$A$22),"")</f>
        <v/>
      </c>
      <c r="AM6" s="328"/>
      <c r="AO6" s="351" t="s">
        <v>79</v>
      </c>
      <c r="AP6" s="352"/>
      <c r="AQ6" s="352"/>
      <c r="AR6" s="352"/>
      <c r="AS6" s="352"/>
      <c r="AT6" s="353"/>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349"/>
      <c r="C7" s="349"/>
      <c r="D7" s="350"/>
      <c r="E7" s="342"/>
      <c r="F7" s="343"/>
      <c r="G7" s="343"/>
      <c r="H7" s="343"/>
      <c r="I7" s="344"/>
      <c r="J7" s="329"/>
      <c r="K7" s="330"/>
      <c r="L7" s="330"/>
      <c r="M7" s="330"/>
      <c r="N7" s="330"/>
      <c r="O7" s="331"/>
      <c r="P7" s="329"/>
      <c r="Q7" s="330"/>
      <c r="R7" s="330"/>
      <c r="S7" s="330"/>
      <c r="T7" s="330"/>
      <c r="U7" s="331"/>
      <c r="V7" s="329"/>
      <c r="W7" s="330"/>
      <c r="X7" s="330"/>
      <c r="Y7" s="330"/>
      <c r="Z7" s="330"/>
      <c r="AA7" s="331"/>
      <c r="AB7" s="329"/>
      <c r="AC7" s="330"/>
      <c r="AD7" s="330"/>
      <c r="AE7" s="330"/>
      <c r="AF7" s="330"/>
      <c r="AG7" s="331"/>
      <c r="AH7" s="320"/>
      <c r="AI7" s="321"/>
      <c r="AJ7" s="321"/>
      <c r="AK7" s="321"/>
      <c r="AL7" s="321"/>
      <c r="AM7" s="322"/>
      <c r="AN7" s="69"/>
      <c r="AO7" s="354"/>
      <c r="AP7" s="355"/>
      <c r="AQ7" s="355"/>
      <c r="AR7" s="355"/>
      <c r="AS7" s="355"/>
      <c r="AT7" s="356"/>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349"/>
      <c r="C8" s="349"/>
      <c r="D8" s="350"/>
      <c r="E8" s="342"/>
      <c r="F8" s="343"/>
      <c r="G8" s="343"/>
      <c r="H8" s="343"/>
      <c r="I8" s="344"/>
      <c r="J8" s="329" t="str">
        <f>IF(AND('Mapa final'!$H$28="Muy Alta",'Mapa final'!$L$28="Leve"),CONCATENATE("R",'Mapa final'!$A$28),"")</f>
        <v/>
      </c>
      <c r="K8" s="330"/>
      <c r="L8" s="330" t="str">
        <f>IF(AND('Mapa final'!$H$34="Muy Alta",'Mapa final'!$L$34="Leve"),CONCATENATE("R",'Mapa final'!$A$34),"")</f>
        <v/>
      </c>
      <c r="M8" s="330"/>
      <c r="N8" s="330" t="str">
        <f>IF(AND('Mapa final'!$H$40="Muy Alta",'Mapa final'!$L$40="Leve"),CONCATENATE("R",'Mapa final'!$A$40),"")</f>
        <v/>
      </c>
      <c r="O8" s="331"/>
      <c r="P8" s="329" t="str">
        <f>IF(AND('Mapa final'!$H$28="Muy Alta",'Mapa final'!$L$28="Menor"),CONCATENATE("R",'Mapa final'!$A$28),"")</f>
        <v/>
      </c>
      <c r="Q8" s="330"/>
      <c r="R8" s="330" t="str">
        <f>IF(AND('Mapa final'!$H$34="Muy Alta",'Mapa final'!$L$34="Menor"),CONCATENATE("R",'Mapa final'!$A$34),"")</f>
        <v/>
      </c>
      <c r="S8" s="330"/>
      <c r="T8" s="330" t="str">
        <f>IF(AND('Mapa final'!$H$40="Muy Alta",'Mapa final'!$L$40="Menor"),CONCATENATE("R",'Mapa final'!$A$40),"")</f>
        <v/>
      </c>
      <c r="U8" s="331"/>
      <c r="V8" s="329" t="str">
        <f>IF(AND('Mapa final'!$H$28="Muy Alta",'Mapa final'!$L$28="Moderado"),CONCATENATE("R",'Mapa final'!$A$28),"")</f>
        <v/>
      </c>
      <c r="W8" s="330"/>
      <c r="X8" s="330" t="str">
        <f>IF(AND('Mapa final'!$H$34="Muy Alta",'Mapa final'!$L$34="Moderado"),CONCATENATE("R",'Mapa final'!$A$34),"")</f>
        <v/>
      </c>
      <c r="Y8" s="330"/>
      <c r="Z8" s="330" t="str">
        <f>IF(AND('Mapa final'!$H$40="Muy Alta",'Mapa final'!$L$40="Moderado"),CONCATENATE("R",'Mapa final'!$A$40),"")</f>
        <v/>
      </c>
      <c r="AA8" s="331"/>
      <c r="AB8" s="329" t="str">
        <f>IF(AND('Mapa final'!$H$28="Muy Alta",'Mapa final'!$L$28="Mayor"),CONCATENATE("R",'Mapa final'!$A$28),"")</f>
        <v/>
      </c>
      <c r="AC8" s="330"/>
      <c r="AD8" s="330" t="str">
        <f>IF(AND('Mapa final'!$H$34="Muy Alta",'Mapa final'!$L$34="Mayor"),CONCATENATE("R",'Mapa final'!$A$34),"")</f>
        <v/>
      </c>
      <c r="AE8" s="330"/>
      <c r="AF8" s="330" t="str">
        <f>IF(AND('Mapa final'!$H$40="Muy Alta",'Mapa final'!$L$40="Mayor"),CONCATENATE("R",'Mapa final'!$A$40),"")</f>
        <v/>
      </c>
      <c r="AG8" s="331"/>
      <c r="AH8" s="320" t="str">
        <f>IF(AND('Mapa final'!$H$28="Muy Alta",'Mapa final'!$L$28="Catastrófico"),CONCATENATE("R",'Mapa final'!$A$28),"")</f>
        <v/>
      </c>
      <c r="AI8" s="321"/>
      <c r="AJ8" s="321" t="str">
        <f>IF(AND('Mapa final'!$H$34="Muy Alta",'Mapa final'!$L$34="Catastrófico"),CONCATENATE("R",'Mapa final'!$A$34),"")</f>
        <v/>
      </c>
      <c r="AK8" s="321"/>
      <c r="AL8" s="321" t="str">
        <f>IF(AND('Mapa final'!$H$40="Muy Alta",'Mapa final'!$L$40="Catastrófico"),CONCATENATE("R",'Mapa final'!$A$40),"")</f>
        <v/>
      </c>
      <c r="AM8" s="322"/>
      <c r="AN8" s="69"/>
      <c r="AO8" s="354"/>
      <c r="AP8" s="355"/>
      <c r="AQ8" s="355"/>
      <c r="AR8" s="355"/>
      <c r="AS8" s="355"/>
      <c r="AT8" s="356"/>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349"/>
      <c r="C9" s="349"/>
      <c r="D9" s="350"/>
      <c r="E9" s="342"/>
      <c r="F9" s="343"/>
      <c r="G9" s="343"/>
      <c r="H9" s="343"/>
      <c r="I9" s="344"/>
      <c r="J9" s="329"/>
      <c r="K9" s="330"/>
      <c r="L9" s="330"/>
      <c r="M9" s="330"/>
      <c r="N9" s="330"/>
      <c r="O9" s="331"/>
      <c r="P9" s="329"/>
      <c r="Q9" s="330"/>
      <c r="R9" s="330"/>
      <c r="S9" s="330"/>
      <c r="T9" s="330"/>
      <c r="U9" s="331"/>
      <c r="V9" s="329"/>
      <c r="W9" s="330"/>
      <c r="X9" s="330"/>
      <c r="Y9" s="330"/>
      <c r="Z9" s="330"/>
      <c r="AA9" s="331"/>
      <c r="AB9" s="329"/>
      <c r="AC9" s="330"/>
      <c r="AD9" s="330"/>
      <c r="AE9" s="330"/>
      <c r="AF9" s="330"/>
      <c r="AG9" s="331"/>
      <c r="AH9" s="320"/>
      <c r="AI9" s="321"/>
      <c r="AJ9" s="321"/>
      <c r="AK9" s="321"/>
      <c r="AL9" s="321"/>
      <c r="AM9" s="322"/>
      <c r="AN9" s="69"/>
      <c r="AO9" s="354"/>
      <c r="AP9" s="355"/>
      <c r="AQ9" s="355"/>
      <c r="AR9" s="355"/>
      <c r="AS9" s="355"/>
      <c r="AT9" s="356"/>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349"/>
      <c r="C10" s="349"/>
      <c r="D10" s="350"/>
      <c r="E10" s="342"/>
      <c r="F10" s="343"/>
      <c r="G10" s="343"/>
      <c r="H10" s="343"/>
      <c r="I10" s="344"/>
      <c r="J10" s="329" t="str">
        <f>IF(AND('Mapa final'!$H$46="Muy Alta",'Mapa final'!$L$46="Leve"),CONCATENATE("R",'Mapa final'!$A$46),"")</f>
        <v/>
      </c>
      <c r="K10" s="330"/>
      <c r="L10" s="330" t="str">
        <f>IF(AND('Mapa final'!$H$52="Muy Alta",'Mapa final'!$L$52="Leve"),CONCATENATE("R",'Mapa final'!$A$52),"")</f>
        <v/>
      </c>
      <c r="M10" s="330"/>
      <c r="N10" s="330" t="str">
        <f>IF(AND('Mapa final'!$H$58="Muy Alta",'Mapa final'!$L$58="Leve"),CONCATENATE("R",'Mapa final'!$A$58),"")</f>
        <v/>
      </c>
      <c r="O10" s="331"/>
      <c r="P10" s="329" t="str">
        <f>IF(AND('Mapa final'!$H$46="Muy Alta",'Mapa final'!$L$46="Menor"),CONCATENATE("R",'Mapa final'!$A$46),"")</f>
        <v/>
      </c>
      <c r="Q10" s="330"/>
      <c r="R10" s="330" t="str">
        <f>IF(AND('Mapa final'!$H$52="Muy Alta",'Mapa final'!$L$52="Menor"),CONCATENATE("R",'Mapa final'!$A$52),"")</f>
        <v/>
      </c>
      <c r="S10" s="330"/>
      <c r="T10" s="330" t="str">
        <f>IF(AND('Mapa final'!$H$58="Muy Alta",'Mapa final'!$L$58="Menor"),CONCATENATE("R",'Mapa final'!$A$58),"")</f>
        <v/>
      </c>
      <c r="U10" s="331"/>
      <c r="V10" s="329" t="str">
        <f>IF(AND('Mapa final'!$H$46="Muy Alta",'Mapa final'!$L$46="Moderado"),CONCATENATE("R",'Mapa final'!$A$46),"")</f>
        <v/>
      </c>
      <c r="W10" s="330"/>
      <c r="X10" s="330" t="str">
        <f>IF(AND('Mapa final'!$H$52="Muy Alta",'Mapa final'!$L$52="Moderado"),CONCATENATE("R",'Mapa final'!$A$52),"")</f>
        <v/>
      </c>
      <c r="Y10" s="330"/>
      <c r="Z10" s="330" t="str">
        <f>IF(AND('Mapa final'!$H$58="Muy Alta",'Mapa final'!$L$58="Moderado"),CONCATENATE("R",'Mapa final'!$A$58),"")</f>
        <v/>
      </c>
      <c r="AA10" s="331"/>
      <c r="AB10" s="329" t="str">
        <f>IF(AND('Mapa final'!$H$46="Muy Alta",'Mapa final'!$L$46="Mayor"),CONCATENATE("R",'Mapa final'!$A$46),"")</f>
        <v/>
      </c>
      <c r="AC10" s="330"/>
      <c r="AD10" s="330" t="str">
        <f>IF(AND('Mapa final'!$H$52="Muy Alta",'Mapa final'!$L$52="Mayor"),CONCATENATE("R",'Mapa final'!$A$52),"")</f>
        <v/>
      </c>
      <c r="AE10" s="330"/>
      <c r="AF10" s="330" t="str">
        <f>IF(AND('Mapa final'!$H$58="Muy Alta",'Mapa final'!$L$58="Mayor"),CONCATENATE("R",'Mapa final'!$A$58),"")</f>
        <v/>
      </c>
      <c r="AG10" s="331"/>
      <c r="AH10" s="320" t="str">
        <f>IF(AND('Mapa final'!$H$46="Muy Alta",'Mapa final'!$L$46="Catastrófico"),CONCATENATE("R",'Mapa final'!$A$46),"")</f>
        <v/>
      </c>
      <c r="AI10" s="321"/>
      <c r="AJ10" s="321" t="str">
        <f>IF(AND('Mapa final'!$H$52="Muy Alta",'Mapa final'!$L$52="Catastrófico"),CONCATENATE("R",'Mapa final'!$A$52),"")</f>
        <v/>
      </c>
      <c r="AK10" s="321"/>
      <c r="AL10" s="321" t="str">
        <f>IF(AND('Mapa final'!$H$58="Muy Alta",'Mapa final'!$L$58="Catastrófico"),CONCATENATE("R",'Mapa final'!$A$58),"")</f>
        <v/>
      </c>
      <c r="AM10" s="322"/>
      <c r="AN10" s="69"/>
      <c r="AO10" s="354"/>
      <c r="AP10" s="355"/>
      <c r="AQ10" s="355"/>
      <c r="AR10" s="355"/>
      <c r="AS10" s="355"/>
      <c r="AT10" s="356"/>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349"/>
      <c r="C11" s="349"/>
      <c r="D11" s="350"/>
      <c r="E11" s="342"/>
      <c r="F11" s="343"/>
      <c r="G11" s="343"/>
      <c r="H11" s="343"/>
      <c r="I11" s="344"/>
      <c r="J11" s="329"/>
      <c r="K11" s="330"/>
      <c r="L11" s="330"/>
      <c r="M11" s="330"/>
      <c r="N11" s="330"/>
      <c r="O11" s="331"/>
      <c r="P11" s="329"/>
      <c r="Q11" s="330"/>
      <c r="R11" s="330"/>
      <c r="S11" s="330"/>
      <c r="T11" s="330"/>
      <c r="U11" s="331"/>
      <c r="V11" s="329"/>
      <c r="W11" s="330"/>
      <c r="X11" s="330"/>
      <c r="Y11" s="330"/>
      <c r="Z11" s="330"/>
      <c r="AA11" s="331"/>
      <c r="AB11" s="329"/>
      <c r="AC11" s="330"/>
      <c r="AD11" s="330"/>
      <c r="AE11" s="330"/>
      <c r="AF11" s="330"/>
      <c r="AG11" s="331"/>
      <c r="AH11" s="320"/>
      <c r="AI11" s="321"/>
      <c r="AJ11" s="321"/>
      <c r="AK11" s="321"/>
      <c r="AL11" s="321"/>
      <c r="AM11" s="322"/>
      <c r="AN11" s="69"/>
      <c r="AO11" s="354"/>
      <c r="AP11" s="355"/>
      <c r="AQ11" s="355"/>
      <c r="AR11" s="355"/>
      <c r="AS11" s="355"/>
      <c r="AT11" s="356"/>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349"/>
      <c r="C12" s="349"/>
      <c r="D12" s="350"/>
      <c r="E12" s="342"/>
      <c r="F12" s="343"/>
      <c r="G12" s="343"/>
      <c r="H12" s="343"/>
      <c r="I12" s="344"/>
      <c r="J12" s="329" t="str">
        <f>IF(AND('Mapa final'!$H$64="Muy Alta",'Mapa final'!$L$64="Leve"),CONCATENATE("R",'Mapa final'!$A$64),"")</f>
        <v/>
      </c>
      <c r="K12" s="330"/>
      <c r="L12" s="330" t="str">
        <f>IF(AND('Mapa final'!$H$70="Muy Alta",'Mapa final'!$L$70="Leve"),CONCATENATE("R",'Mapa final'!$A$70),"")</f>
        <v/>
      </c>
      <c r="M12" s="330"/>
      <c r="N12" s="330" t="e">
        <f>IF(AND('Mapa final'!#REF!="Muy Alta",'Mapa final'!#REF!="Leve"),CONCATENATE("R",'Mapa final'!#REF!),"")</f>
        <v>#REF!</v>
      </c>
      <c r="O12" s="331"/>
      <c r="P12" s="329" t="str">
        <f>IF(AND('Mapa final'!$H$64="Muy Alta",'Mapa final'!$L$64="Menor"),CONCATENATE("R",'Mapa final'!$A$64),"")</f>
        <v/>
      </c>
      <c r="Q12" s="330"/>
      <c r="R12" s="330" t="str">
        <f>IF(AND('Mapa final'!$H$70="Muy Alta",'Mapa final'!$L$70="Menor"),CONCATENATE("R",'Mapa final'!$A$70),"")</f>
        <v/>
      </c>
      <c r="S12" s="330"/>
      <c r="T12" s="330" t="e">
        <f>IF(AND('Mapa final'!#REF!="Muy Alta",'Mapa final'!#REF!="Menor"),CONCATENATE("R",'Mapa final'!#REF!),"")</f>
        <v>#REF!</v>
      </c>
      <c r="U12" s="331"/>
      <c r="V12" s="329" t="str">
        <f>IF(AND('Mapa final'!$H$64="Muy Alta",'Mapa final'!$L$64="Moderado"),CONCATENATE("R",'Mapa final'!$A$64),"")</f>
        <v/>
      </c>
      <c r="W12" s="330"/>
      <c r="X12" s="330" t="str">
        <f>IF(AND('Mapa final'!$H$70="Muy Alta",'Mapa final'!$L$70="Moderado"),CONCATENATE("R",'Mapa final'!$A$70),"")</f>
        <v/>
      </c>
      <c r="Y12" s="330"/>
      <c r="Z12" s="330" t="e">
        <f>IF(AND('Mapa final'!#REF!="Muy Alta",'Mapa final'!#REF!="Moderado"),CONCATENATE("R",'Mapa final'!#REF!),"")</f>
        <v>#REF!</v>
      </c>
      <c r="AA12" s="331"/>
      <c r="AB12" s="329" t="str">
        <f>IF(AND('Mapa final'!$H$64="Muy Alta",'Mapa final'!$L$64="Mayor"),CONCATENATE("R",'Mapa final'!$A$64),"")</f>
        <v/>
      </c>
      <c r="AC12" s="330"/>
      <c r="AD12" s="330" t="str">
        <f>IF(AND('Mapa final'!$H$70="Muy Alta",'Mapa final'!$L$70="Mayor"),CONCATENATE("R",'Mapa final'!$A$70),"")</f>
        <v/>
      </c>
      <c r="AE12" s="330"/>
      <c r="AF12" s="330" t="e">
        <f>IF(AND('Mapa final'!#REF!="Muy Alta",'Mapa final'!#REF!="Mayor"),CONCATENATE("R",'Mapa final'!#REF!),"")</f>
        <v>#REF!</v>
      </c>
      <c r="AG12" s="331"/>
      <c r="AH12" s="320" t="str">
        <f>IF(AND('Mapa final'!$H$64="Muy Alta",'Mapa final'!$L$64="Catastrófico"),CONCATENATE("R",'Mapa final'!$A$64),"")</f>
        <v/>
      </c>
      <c r="AI12" s="321"/>
      <c r="AJ12" s="321" t="str">
        <f>IF(AND('Mapa final'!$H$70="Muy Alta",'Mapa final'!$L$70="Catastrófico"),CONCATENATE("R",'Mapa final'!$A$70),"")</f>
        <v/>
      </c>
      <c r="AK12" s="321"/>
      <c r="AL12" s="321" t="e">
        <f>IF(AND('Mapa final'!#REF!="Muy Alta",'Mapa final'!#REF!="Catastrófico"),CONCATENATE("R",'Mapa final'!#REF!),"")</f>
        <v>#REF!</v>
      </c>
      <c r="AM12" s="322"/>
      <c r="AN12" s="69"/>
      <c r="AO12" s="354"/>
      <c r="AP12" s="355"/>
      <c r="AQ12" s="355"/>
      <c r="AR12" s="355"/>
      <c r="AS12" s="355"/>
      <c r="AT12" s="356"/>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349"/>
      <c r="C13" s="349"/>
      <c r="D13" s="350"/>
      <c r="E13" s="345"/>
      <c r="F13" s="346"/>
      <c r="G13" s="346"/>
      <c r="H13" s="346"/>
      <c r="I13" s="347"/>
      <c r="J13" s="329"/>
      <c r="K13" s="330"/>
      <c r="L13" s="330"/>
      <c r="M13" s="330"/>
      <c r="N13" s="330"/>
      <c r="O13" s="331"/>
      <c r="P13" s="329"/>
      <c r="Q13" s="330"/>
      <c r="R13" s="330"/>
      <c r="S13" s="330"/>
      <c r="T13" s="330"/>
      <c r="U13" s="331"/>
      <c r="V13" s="329"/>
      <c r="W13" s="330"/>
      <c r="X13" s="330"/>
      <c r="Y13" s="330"/>
      <c r="Z13" s="330"/>
      <c r="AA13" s="331"/>
      <c r="AB13" s="329"/>
      <c r="AC13" s="330"/>
      <c r="AD13" s="330"/>
      <c r="AE13" s="330"/>
      <c r="AF13" s="330"/>
      <c r="AG13" s="331"/>
      <c r="AH13" s="323"/>
      <c r="AI13" s="324"/>
      <c r="AJ13" s="324"/>
      <c r="AK13" s="324"/>
      <c r="AL13" s="324"/>
      <c r="AM13" s="325"/>
      <c r="AN13" s="69"/>
      <c r="AO13" s="357"/>
      <c r="AP13" s="358"/>
      <c r="AQ13" s="358"/>
      <c r="AR13" s="358"/>
      <c r="AS13" s="358"/>
      <c r="AT13" s="35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349"/>
      <c r="C14" s="349"/>
      <c r="D14" s="350"/>
      <c r="E14" s="339" t="s">
        <v>115</v>
      </c>
      <c r="F14" s="340"/>
      <c r="G14" s="340"/>
      <c r="H14" s="340"/>
      <c r="I14" s="340"/>
      <c r="J14" s="317" t="str">
        <f>IF(AND('Mapa final'!$H$10="Alta",'Mapa final'!$L$10="Leve"),CONCATENATE("R",'Mapa final'!$A$10),"")</f>
        <v/>
      </c>
      <c r="K14" s="318"/>
      <c r="L14" s="318" t="str">
        <f>IF(AND('Mapa final'!$H$16="Alta",'Mapa final'!$L$16="Leve"),CONCATENATE("R",'Mapa final'!$A$16),"")</f>
        <v/>
      </c>
      <c r="M14" s="318"/>
      <c r="N14" s="318" t="str">
        <f>IF(AND('Mapa final'!$H$22="Alta",'Mapa final'!$L$22="Leve"),CONCATENATE("R",'Mapa final'!$A$22),"")</f>
        <v/>
      </c>
      <c r="O14" s="319"/>
      <c r="P14" s="317" t="str">
        <f>IF(AND('Mapa final'!$H$10="Alta",'Mapa final'!$L$10="Menor"),CONCATENATE("R",'Mapa final'!$A$10),"")</f>
        <v/>
      </c>
      <c r="Q14" s="318"/>
      <c r="R14" s="318" t="str">
        <f>IF(AND('Mapa final'!$H$16="Alta",'Mapa final'!$L$16="Menor"),CONCATENATE("R",'Mapa final'!$A$16),"")</f>
        <v/>
      </c>
      <c r="S14" s="318"/>
      <c r="T14" s="318" t="str">
        <f>IF(AND('Mapa final'!$H$22="Alta",'Mapa final'!$L$22="Menor"),CONCATENATE("R",'Mapa final'!$A$22),"")</f>
        <v/>
      </c>
      <c r="U14" s="319"/>
      <c r="V14" s="335" t="str">
        <f>IF(AND('Mapa final'!$H$10="Alta",'Mapa final'!$L$10="Moderado"),CONCATENATE("R",'Mapa final'!$A$10),"")</f>
        <v/>
      </c>
      <c r="W14" s="336"/>
      <c r="X14" s="336" t="str">
        <f>IF(AND('Mapa final'!$H$16="Alta",'Mapa final'!$L$16="Moderado"),CONCATENATE("R",'Mapa final'!$A$16),"")</f>
        <v/>
      </c>
      <c r="Y14" s="336"/>
      <c r="Z14" s="336" t="str">
        <f>IF(AND('Mapa final'!$H$22="Alta",'Mapa final'!$L$22="Moderado"),CONCATENATE("R",'Mapa final'!$A$22),"")</f>
        <v/>
      </c>
      <c r="AA14" s="337"/>
      <c r="AB14" s="335" t="str">
        <f>IF(AND('Mapa final'!$H$10="Alta",'Mapa final'!$L$10="Mayor"),CONCATENATE("R",'Mapa final'!$A$10),"")</f>
        <v/>
      </c>
      <c r="AC14" s="336"/>
      <c r="AD14" s="336" t="str">
        <f>IF(AND('Mapa final'!$H$16="Alta",'Mapa final'!$L$16="Mayor"),CONCATENATE("R",'Mapa final'!$A$16),"")</f>
        <v/>
      </c>
      <c r="AE14" s="336"/>
      <c r="AF14" s="336" t="str">
        <f>IF(AND('Mapa final'!$H$22="Alta",'Mapa final'!$L$22="Mayor"),CONCATENATE("R",'Mapa final'!$A$22),"")</f>
        <v/>
      </c>
      <c r="AG14" s="337"/>
      <c r="AH14" s="326" t="str">
        <f>IF(AND('Mapa final'!$H$10="Alta",'Mapa final'!$L$10="Catastrófico"),CONCATENATE("R",'Mapa final'!$A$10),"")</f>
        <v/>
      </c>
      <c r="AI14" s="327"/>
      <c r="AJ14" s="327" t="str">
        <f>IF(AND('Mapa final'!$H$16="Alta",'Mapa final'!$L$16="Catastrófico"),CONCATENATE("R",'Mapa final'!$A$16),"")</f>
        <v/>
      </c>
      <c r="AK14" s="327"/>
      <c r="AL14" s="327" t="str">
        <f>IF(AND('Mapa final'!$H$22="Alta",'Mapa final'!$L$22="Catastrófico"),CONCATENATE("R",'Mapa final'!$A$22),"")</f>
        <v/>
      </c>
      <c r="AM14" s="328"/>
      <c r="AN14" s="69"/>
      <c r="AO14" s="360" t="s">
        <v>80</v>
      </c>
      <c r="AP14" s="361"/>
      <c r="AQ14" s="361"/>
      <c r="AR14" s="361"/>
      <c r="AS14" s="361"/>
      <c r="AT14" s="362"/>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349"/>
      <c r="C15" s="349"/>
      <c r="D15" s="350"/>
      <c r="E15" s="342"/>
      <c r="F15" s="343"/>
      <c r="G15" s="343"/>
      <c r="H15" s="343"/>
      <c r="I15" s="343"/>
      <c r="J15" s="311"/>
      <c r="K15" s="312"/>
      <c r="L15" s="312"/>
      <c r="M15" s="312"/>
      <c r="N15" s="312"/>
      <c r="O15" s="313"/>
      <c r="P15" s="311"/>
      <c r="Q15" s="312"/>
      <c r="R15" s="312"/>
      <c r="S15" s="312"/>
      <c r="T15" s="312"/>
      <c r="U15" s="313"/>
      <c r="V15" s="329"/>
      <c r="W15" s="330"/>
      <c r="X15" s="330"/>
      <c r="Y15" s="330"/>
      <c r="Z15" s="330"/>
      <c r="AA15" s="331"/>
      <c r="AB15" s="329"/>
      <c r="AC15" s="330"/>
      <c r="AD15" s="330"/>
      <c r="AE15" s="330"/>
      <c r="AF15" s="330"/>
      <c r="AG15" s="331"/>
      <c r="AH15" s="320"/>
      <c r="AI15" s="321"/>
      <c r="AJ15" s="321"/>
      <c r="AK15" s="321"/>
      <c r="AL15" s="321"/>
      <c r="AM15" s="322"/>
      <c r="AN15" s="69"/>
      <c r="AO15" s="363"/>
      <c r="AP15" s="364"/>
      <c r="AQ15" s="364"/>
      <c r="AR15" s="364"/>
      <c r="AS15" s="364"/>
      <c r="AT15" s="365"/>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349"/>
      <c r="C16" s="349"/>
      <c r="D16" s="350"/>
      <c r="E16" s="342"/>
      <c r="F16" s="343"/>
      <c r="G16" s="343"/>
      <c r="H16" s="343"/>
      <c r="I16" s="343"/>
      <c r="J16" s="311" t="str">
        <f>IF(AND('Mapa final'!$H$28="Alta",'Mapa final'!$L$28="Leve"),CONCATENATE("R",'Mapa final'!$A$28),"")</f>
        <v/>
      </c>
      <c r="K16" s="312"/>
      <c r="L16" s="312" t="str">
        <f>IF(AND('Mapa final'!$H$34="Alta",'Mapa final'!$L$34="Leve"),CONCATENATE("R",'Mapa final'!$A$34),"")</f>
        <v/>
      </c>
      <c r="M16" s="312"/>
      <c r="N16" s="312" t="str">
        <f>IF(AND('Mapa final'!$H$40="Alta",'Mapa final'!$L$40="Leve"),CONCATENATE("R",'Mapa final'!$A$40),"")</f>
        <v/>
      </c>
      <c r="O16" s="313"/>
      <c r="P16" s="311" t="str">
        <f>IF(AND('Mapa final'!$H$28="Alta",'Mapa final'!$L$28="Menor"),CONCATENATE("R",'Mapa final'!$A$28),"")</f>
        <v/>
      </c>
      <c r="Q16" s="312"/>
      <c r="R16" s="312" t="str">
        <f>IF(AND('Mapa final'!$H$34="Alta",'Mapa final'!$L$34="Menor"),CONCATENATE("R",'Mapa final'!$A$34),"")</f>
        <v/>
      </c>
      <c r="S16" s="312"/>
      <c r="T16" s="312" t="str">
        <f>IF(AND('Mapa final'!$H$40="Alta",'Mapa final'!$L$40="Menor"),CONCATENATE("R",'Mapa final'!$A$40),"")</f>
        <v/>
      </c>
      <c r="U16" s="313"/>
      <c r="V16" s="329" t="str">
        <f>IF(AND('Mapa final'!$H$28="Alta",'Mapa final'!$L$28="Moderado"),CONCATENATE("R",'Mapa final'!$A$28),"")</f>
        <v/>
      </c>
      <c r="W16" s="330"/>
      <c r="X16" s="330" t="str">
        <f>IF(AND('Mapa final'!$H$34="Alta",'Mapa final'!$L$34="Moderado"),CONCATENATE("R",'Mapa final'!$A$34),"")</f>
        <v/>
      </c>
      <c r="Y16" s="330"/>
      <c r="Z16" s="330" t="str">
        <f>IF(AND('Mapa final'!$H$40="Alta",'Mapa final'!$L$40="Moderado"),CONCATENATE("R",'Mapa final'!$A$40),"")</f>
        <v/>
      </c>
      <c r="AA16" s="331"/>
      <c r="AB16" s="329" t="str">
        <f>IF(AND('Mapa final'!$H$28="Alta",'Mapa final'!$L$28="Mayor"),CONCATENATE("R",'Mapa final'!$A$28),"")</f>
        <v/>
      </c>
      <c r="AC16" s="330"/>
      <c r="AD16" s="330" t="str">
        <f>IF(AND('Mapa final'!$H$34="Alta",'Mapa final'!$L$34="Mayor"),CONCATENATE("R",'Mapa final'!$A$34),"")</f>
        <v/>
      </c>
      <c r="AE16" s="330"/>
      <c r="AF16" s="330" t="str">
        <f>IF(AND('Mapa final'!$H$40="Alta",'Mapa final'!$L$40="Mayor"),CONCATENATE("R",'Mapa final'!$A$40),"")</f>
        <v/>
      </c>
      <c r="AG16" s="331"/>
      <c r="AH16" s="320" t="str">
        <f>IF(AND('Mapa final'!$H$28="Alta",'Mapa final'!$L$28="Catastrófico"),CONCATENATE("R",'Mapa final'!$A$28),"")</f>
        <v/>
      </c>
      <c r="AI16" s="321"/>
      <c r="AJ16" s="321" t="str">
        <f>IF(AND('Mapa final'!$H$34="Alta",'Mapa final'!$L$34="Catastrófico"),CONCATENATE("R",'Mapa final'!$A$34),"")</f>
        <v/>
      </c>
      <c r="AK16" s="321"/>
      <c r="AL16" s="321" t="str">
        <f>IF(AND('Mapa final'!$H$40="Alta",'Mapa final'!$L$40="Catastrófico"),CONCATENATE("R",'Mapa final'!$A$40),"")</f>
        <v/>
      </c>
      <c r="AM16" s="322"/>
      <c r="AN16" s="69"/>
      <c r="AO16" s="363"/>
      <c r="AP16" s="364"/>
      <c r="AQ16" s="364"/>
      <c r="AR16" s="364"/>
      <c r="AS16" s="364"/>
      <c r="AT16" s="365"/>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349"/>
      <c r="C17" s="349"/>
      <c r="D17" s="350"/>
      <c r="E17" s="342"/>
      <c r="F17" s="343"/>
      <c r="G17" s="343"/>
      <c r="H17" s="343"/>
      <c r="I17" s="343"/>
      <c r="J17" s="311"/>
      <c r="K17" s="312"/>
      <c r="L17" s="312"/>
      <c r="M17" s="312"/>
      <c r="N17" s="312"/>
      <c r="O17" s="313"/>
      <c r="P17" s="311"/>
      <c r="Q17" s="312"/>
      <c r="R17" s="312"/>
      <c r="S17" s="312"/>
      <c r="T17" s="312"/>
      <c r="U17" s="313"/>
      <c r="V17" s="329"/>
      <c r="W17" s="330"/>
      <c r="X17" s="330"/>
      <c r="Y17" s="330"/>
      <c r="Z17" s="330"/>
      <c r="AA17" s="331"/>
      <c r="AB17" s="329"/>
      <c r="AC17" s="330"/>
      <c r="AD17" s="330"/>
      <c r="AE17" s="330"/>
      <c r="AF17" s="330"/>
      <c r="AG17" s="331"/>
      <c r="AH17" s="320"/>
      <c r="AI17" s="321"/>
      <c r="AJ17" s="321"/>
      <c r="AK17" s="321"/>
      <c r="AL17" s="321"/>
      <c r="AM17" s="322"/>
      <c r="AN17" s="69"/>
      <c r="AO17" s="363"/>
      <c r="AP17" s="364"/>
      <c r="AQ17" s="364"/>
      <c r="AR17" s="364"/>
      <c r="AS17" s="364"/>
      <c r="AT17" s="365"/>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349"/>
      <c r="C18" s="349"/>
      <c r="D18" s="350"/>
      <c r="E18" s="342"/>
      <c r="F18" s="343"/>
      <c r="G18" s="343"/>
      <c r="H18" s="343"/>
      <c r="I18" s="343"/>
      <c r="J18" s="311" t="str">
        <f>IF(AND('Mapa final'!$H$46="Alta",'Mapa final'!$L$46="Leve"),CONCATENATE("R",'Mapa final'!$A$46),"")</f>
        <v/>
      </c>
      <c r="K18" s="312"/>
      <c r="L18" s="312" t="str">
        <f>IF(AND('Mapa final'!$H$52="Alta",'Mapa final'!$L$52="Leve"),CONCATENATE("R",'Mapa final'!$A$52),"")</f>
        <v/>
      </c>
      <c r="M18" s="312"/>
      <c r="N18" s="312" t="str">
        <f>IF(AND('Mapa final'!$H$58="Alta",'Mapa final'!$L$58="Leve"),CONCATENATE("R",'Mapa final'!$A$58),"")</f>
        <v/>
      </c>
      <c r="O18" s="313"/>
      <c r="P18" s="311" t="str">
        <f>IF(AND('Mapa final'!$H$46="Alta",'Mapa final'!$L$46="Menor"),CONCATENATE("R",'Mapa final'!$A$46),"")</f>
        <v/>
      </c>
      <c r="Q18" s="312"/>
      <c r="R18" s="312" t="str">
        <f>IF(AND('Mapa final'!$H$52="Alta",'Mapa final'!$L$52="Menor"),CONCATENATE("R",'Mapa final'!$A$52),"")</f>
        <v/>
      </c>
      <c r="S18" s="312"/>
      <c r="T18" s="312" t="str">
        <f>IF(AND('Mapa final'!$H$58="Alta",'Mapa final'!$L$58="Menor"),CONCATENATE("R",'Mapa final'!$A$58),"")</f>
        <v/>
      </c>
      <c r="U18" s="313"/>
      <c r="V18" s="329" t="str">
        <f>IF(AND('Mapa final'!$H$46="Alta",'Mapa final'!$L$46="Moderado"),CONCATENATE("R",'Mapa final'!$A$46),"")</f>
        <v/>
      </c>
      <c r="W18" s="330"/>
      <c r="X18" s="330" t="str">
        <f>IF(AND('Mapa final'!$H$52="Alta",'Mapa final'!$L$52="Moderado"),CONCATENATE("R",'Mapa final'!$A$52),"")</f>
        <v/>
      </c>
      <c r="Y18" s="330"/>
      <c r="Z18" s="330" t="str">
        <f>IF(AND('Mapa final'!$H$58="Alta",'Mapa final'!$L$58="Moderado"),CONCATENATE("R",'Mapa final'!$A$58),"")</f>
        <v/>
      </c>
      <c r="AA18" s="331"/>
      <c r="AB18" s="329" t="str">
        <f>IF(AND('Mapa final'!$H$46="Alta",'Mapa final'!$L$46="Mayor"),CONCATENATE("R",'Mapa final'!$A$46),"")</f>
        <v/>
      </c>
      <c r="AC18" s="330"/>
      <c r="AD18" s="330" t="str">
        <f>IF(AND('Mapa final'!$H$52="Alta",'Mapa final'!$L$52="Mayor"),CONCATENATE("R",'Mapa final'!$A$52),"")</f>
        <v/>
      </c>
      <c r="AE18" s="330"/>
      <c r="AF18" s="330" t="str">
        <f>IF(AND('Mapa final'!$H$58="Alta",'Mapa final'!$L$58="Mayor"),CONCATENATE("R",'Mapa final'!$A$58),"")</f>
        <v/>
      </c>
      <c r="AG18" s="331"/>
      <c r="AH18" s="320" t="str">
        <f>IF(AND('Mapa final'!$H$46="Alta",'Mapa final'!$L$46="Catastrófico"),CONCATENATE("R",'Mapa final'!$A$46),"")</f>
        <v/>
      </c>
      <c r="AI18" s="321"/>
      <c r="AJ18" s="321" t="str">
        <f>IF(AND('Mapa final'!$H$52="Alta",'Mapa final'!$L$52="Catastrófico"),CONCATENATE("R",'Mapa final'!$A$52),"")</f>
        <v/>
      </c>
      <c r="AK18" s="321"/>
      <c r="AL18" s="321" t="str">
        <f>IF(AND('Mapa final'!$H$58="Alta",'Mapa final'!$L$58="Catastrófico"),CONCATENATE("R",'Mapa final'!$A$58),"")</f>
        <v/>
      </c>
      <c r="AM18" s="322"/>
      <c r="AN18" s="69"/>
      <c r="AO18" s="363"/>
      <c r="AP18" s="364"/>
      <c r="AQ18" s="364"/>
      <c r="AR18" s="364"/>
      <c r="AS18" s="364"/>
      <c r="AT18" s="365"/>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349"/>
      <c r="C19" s="349"/>
      <c r="D19" s="350"/>
      <c r="E19" s="342"/>
      <c r="F19" s="343"/>
      <c r="G19" s="343"/>
      <c r="H19" s="343"/>
      <c r="I19" s="343"/>
      <c r="J19" s="311"/>
      <c r="K19" s="312"/>
      <c r="L19" s="312"/>
      <c r="M19" s="312"/>
      <c r="N19" s="312"/>
      <c r="O19" s="313"/>
      <c r="P19" s="311"/>
      <c r="Q19" s="312"/>
      <c r="R19" s="312"/>
      <c r="S19" s="312"/>
      <c r="T19" s="312"/>
      <c r="U19" s="313"/>
      <c r="V19" s="329"/>
      <c r="W19" s="330"/>
      <c r="X19" s="330"/>
      <c r="Y19" s="330"/>
      <c r="Z19" s="330"/>
      <c r="AA19" s="331"/>
      <c r="AB19" s="329"/>
      <c r="AC19" s="330"/>
      <c r="AD19" s="330"/>
      <c r="AE19" s="330"/>
      <c r="AF19" s="330"/>
      <c r="AG19" s="331"/>
      <c r="AH19" s="320"/>
      <c r="AI19" s="321"/>
      <c r="AJ19" s="321"/>
      <c r="AK19" s="321"/>
      <c r="AL19" s="321"/>
      <c r="AM19" s="322"/>
      <c r="AN19" s="69"/>
      <c r="AO19" s="363"/>
      <c r="AP19" s="364"/>
      <c r="AQ19" s="364"/>
      <c r="AR19" s="364"/>
      <c r="AS19" s="364"/>
      <c r="AT19" s="365"/>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349"/>
      <c r="C20" s="349"/>
      <c r="D20" s="350"/>
      <c r="E20" s="342"/>
      <c r="F20" s="343"/>
      <c r="G20" s="343"/>
      <c r="H20" s="343"/>
      <c r="I20" s="343"/>
      <c r="J20" s="311" t="str">
        <f>IF(AND('Mapa final'!$H$64="Alta",'Mapa final'!$L$64="Leve"),CONCATENATE("R",'Mapa final'!$A$64),"")</f>
        <v/>
      </c>
      <c r="K20" s="312"/>
      <c r="L20" s="312" t="str">
        <f>IF(AND('Mapa final'!$H$70="Alta",'Mapa final'!$L$70="Leve"),CONCATENATE("R",'Mapa final'!$A$70),"")</f>
        <v/>
      </c>
      <c r="M20" s="312"/>
      <c r="N20" s="312" t="e">
        <f>IF(AND('Mapa final'!#REF!="Alta",'Mapa final'!#REF!="Leve"),CONCATENATE("R",'Mapa final'!#REF!),"")</f>
        <v>#REF!</v>
      </c>
      <c r="O20" s="313"/>
      <c r="P20" s="311" t="str">
        <f>IF(AND('Mapa final'!$H$64="Alta",'Mapa final'!$L$64="Menor"),CONCATENATE("R",'Mapa final'!$A$64),"")</f>
        <v/>
      </c>
      <c r="Q20" s="312"/>
      <c r="R20" s="312" t="str">
        <f>IF(AND('Mapa final'!$H$70="Alta",'Mapa final'!$L$70="Menor"),CONCATENATE("R",'Mapa final'!$A$70),"")</f>
        <v/>
      </c>
      <c r="S20" s="312"/>
      <c r="T20" s="312" t="e">
        <f>IF(AND('Mapa final'!#REF!="Alta",'Mapa final'!#REF!="Menor"),CONCATENATE("R",'Mapa final'!#REF!),"")</f>
        <v>#REF!</v>
      </c>
      <c r="U20" s="313"/>
      <c r="V20" s="329" t="str">
        <f>IF(AND('Mapa final'!$H$64="Alta",'Mapa final'!$L$64="Moderado"),CONCATENATE("R",'Mapa final'!$A$64),"")</f>
        <v/>
      </c>
      <c r="W20" s="330"/>
      <c r="X20" s="330" t="str">
        <f>IF(AND('Mapa final'!$H$70="Alta",'Mapa final'!$L$70="Moderado"),CONCATENATE("R",'Mapa final'!$A$70),"")</f>
        <v/>
      </c>
      <c r="Y20" s="330"/>
      <c r="Z20" s="330" t="e">
        <f>IF(AND('Mapa final'!#REF!="Alta",'Mapa final'!#REF!="Moderado"),CONCATENATE("R",'Mapa final'!#REF!),"")</f>
        <v>#REF!</v>
      </c>
      <c r="AA20" s="331"/>
      <c r="AB20" s="329" t="str">
        <f>IF(AND('Mapa final'!$H$64="Alta",'Mapa final'!$L$64="Mayor"),CONCATENATE("R",'Mapa final'!$A$64),"")</f>
        <v/>
      </c>
      <c r="AC20" s="330"/>
      <c r="AD20" s="330" t="str">
        <f>IF(AND('Mapa final'!$H$70="Alta",'Mapa final'!$L$70="Mayor"),CONCATENATE("R",'Mapa final'!$A$70),"")</f>
        <v/>
      </c>
      <c r="AE20" s="330"/>
      <c r="AF20" s="330" t="e">
        <f>IF(AND('Mapa final'!#REF!="Alta",'Mapa final'!#REF!="Mayor"),CONCATENATE("R",'Mapa final'!#REF!),"")</f>
        <v>#REF!</v>
      </c>
      <c r="AG20" s="331"/>
      <c r="AH20" s="320" t="str">
        <f>IF(AND('Mapa final'!$H$64="Alta",'Mapa final'!$L$64="Catastrófico"),CONCATENATE("R",'Mapa final'!$A$64),"")</f>
        <v/>
      </c>
      <c r="AI20" s="321"/>
      <c r="AJ20" s="321" t="str">
        <f>IF(AND('Mapa final'!$H$70="Alta",'Mapa final'!$L$70="Catastrófico"),CONCATENATE("R",'Mapa final'!$A$70),"")</f>
        <v/>
      </c>
      <c r="AK20" s="321"/>
      <c r="AL20" s="321" t="e">
        <f>IF(AND('Mapa final'!#REF!="Alta",'Mapa final'!#REF!="Catastrófico"),CONCATENATE("R",'Mapa final'!#REF!),"")</f>
        <v>#REF!</v>
      </c>
      <c r="AM20" s="322"/>
      <c r="AN20" s="69"/>
      <c r="AO20" s="363"/>
      <c r="AP20" s="364"/>
      <c r="AQ20" s="364"/>
      <c r="AR20" s="364"/>
      <c r="AS20" s="364"/>
      <c r="AT20" s="365"/>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349"/>
      <c r="C21" s="349"/>
      <c r="D21" s="350"/>
      <c r="E21" s="345"/>
      <c r="F21" s="346"/>
      <c r="G21" s="346"/>
      <c r="H21" s="346"/>
      <c r="I21" s="346"/>
      <c r="J21" s="314"/>
      <c r="K21" s="315"/>
      <c r="L21" s="315"/>
      <c r="M21" s="315"/>
      <c r="N21" s="315"/>
      <c r="O21" s="316"/>
      <c r="P21" s="314"/>
      <c r="Q21" s="315"/>
      <c r="R21" s="315"/>
      <c r="S21" s="315"/>
      <c r="T21" s="315"/>
      <c r="U21" s="316"/>
      <c r="V21" s="332"/>
      <c r="W21" s="333"/>
      <c r="X21" s="333"/>
      <c r="Y21" s="333"/>
      <c r="Z21" s="333"/>
      <c r="AA21" s="334"/>
      <c r="AB21" s="332"/>
      <c r="AC21" s="333"/>
      <c r="AD21" s="333"/>
      <c r="AE21" s="333"/>
      <c r="AF21" s="333"/>
      <c r="AG21" s="334"/>
      <c r="AH21" s="323"/>
      <c r="AI21" s="324"/>
      <c r="AJ21" s="324"/>
      <c r="AK21" s="324"/>
      <c r="AL21" s="324"/>
      <c r="AM21" s="325"/>
      <c r="AN21" s="69"/>
      <c r="AO21" s="366"/>
      <c r="AP21" s="367"/>
      <c r="AQ21" s="367"/>
      <c r="AR21" s="367"/>
      <c r="AS21" s="367"/>
      <c r="AT21" s="368"/>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349"/>
      <c r="C22" s="349"/>
      <c r="D22" s="350"/>
      <c r="E22" s="339" t="s">
        <v>117</v>
      </c>
      <c r="F22" s="340"/>
      <c r="G22" s="340"/>
      <c r="H22" s="340"/>
      <c r="I22" s="341"/>
      <c r="J22" s="317" t="str">
        <f>IF(AND('Mapa final'!$H$10="Media",'Mapa final'!$L$10="Leve"),CONCATENATE("R",'Mapa final'!$A$10),"")</f>
        <v/>
      </c>
      <c r="K22" s="318"/>
      <c r="L22" s="318" t="str">
        <f>IF(AND('Mapa final'!$H$16="Media",'Mapa final'!$L$16="Leve"),CONCATENATE("R",'Mapa final'!$A$16),"")</f>
        <v/>
      </c>
      <c r="M22" s="318"/>
      <c r="N22" s="318" t="str">
        <f>IF(AND('Mapa final'!$H$22="Media",'Mapa final'!$L$22="Leve"),CONCATENATE("R",'Mapa final'!$A$22),"")</f>
        <v/>
      </c>
      <c r="O22" s="319"/>
      <c r="P22" s="317" t="str">
        <f>IF(AND('Mapa final'!$H$10="Media",'Mapa final'!$L$10="Menor"),CONCATENATE("R",'Mapa final'!$A$10),"")</f>
        <v/>
      </c>
      <c r="Q22" s="318"/>
      <c r="R22" s="318" t="str">
        <f>IF(AND('Mapa final'!$H$16="Media",'Mapa final'!$L$16="Menor"),CONCATENATE("R",'Mapa final'!$A$16),"")</f>
        <v/>
      </c>
      <c r="S22" s="318"/>
      <c r="T22" s="318" t="str">
        <f>IF(AND('Mapa final'!$H$22="Media",'Mapa final'!$L$22="Menor"),CONCATENATE("R",'Mapa final'!$A$22),"")</f>
        <v/>
      </c>
      <c r="U22" s="319"/>
      <c r="V22" s="317" t="str">
        <f>IF(AND('Mapa final'!$H$10="Media",'Mapa final'!$L$10="Moderado"),CONCATENATE("R",'Mapa final'!$A$10),"")</f>
        <v/>
      </c>
      <c r="W22" s="318"/>
      <c r="X22" s="318" t="str">
        <f>IF(AND('Mapa final'!$H$16="Media",'Mapa final'!$L$16="Moderado"),CONCATENATE("R",'Mapa final'!$A$16),"")</f>
        <v/>
      </c>
      <c r="Y22" s="318"/>
      <c r="Z22" s="318" t="str">
        <f>IF(AND('Mapa final'!$H$22="Media",'Mapa final'!$L$22="Moderado"),CONCATENATE("R",'Mapa final'!$A$22),"")</f>
        <v/>
      </c>
      <c r="AA22" s="319"/>
      <c r="AB22" s="335" t="str">
        <f>IF(AND('Mapa final'!$H$10="Media",'Mapa final'!$L$10="Mayor"),CONCATENATE("R",'Mapa final'!$A$10),"")</f>
        <v/>
      </c>
      <c r="AC22" s="336"/>
      <c r="AD22" s="336" t="str">
        <f>IF(AND('Mapa final'!$H$16="Media",'Mapa final'!$L$16="Mayor"),CONCATENATE("R",'Mapa final'!$A$16),"")</f>
        <v/>
      </c>
      <c r="AE22" s="336"/>
      <c r="AF22" s="336" t="str">
        <f>IF(AND('Mapa final'!$H$22="Media",'Mapa final'!$L$22="Mayor"),CONCATENATE("R",'Mapa final'!$A$22),"")</f>
        <v/>
      </c>
      <c r="AG22" s="337"/>
      <c r="AH22" s="326" t="str">
        <f>IF(AND('Mapa final'!$H$10="Media",'Mapa final'!$L$10="Catastrófico"),CONCATENATE("R",'Mapa final'!$A$10),"")</f>
        <v/>
      </c>
      <c r="AI22" s="327"/>
      <c r="AJ22" s="327" t="str">
        <f>IF(AND('Mapa final'!$H$16="Media",'Mapa final'!$L$16="Catastrófico"),CONCATENATE("R",'Mapa final'!$A$16),"")</f>
        <v/>
      </c>
      <c r="AK22" s="327"/>
      <c r="AL22" s="327" t="str">
        <f>IF(AND('Mapa final'!$H$22="Media",'Mapa final'!$L$22="Catastrófico"),CONCATENATE("R",'Mapa final'!$A$22),"")</f>
        <v/>
      </c>
      <c r="AM22" s="328"/>
      <c r="AN22" s="69"/>
      <c r="AO22" s="369" t="s">
        <v>81</v>
      </c>
      <c r="AP22" s="370"/>
      <c r="AQ22" s="370"/>
      <c r="AR22" s="370"/>
      <c r="AS22" s="370"/>
      <c r="AT22" s="371"/>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349"/>
      <c r="C23" s="349"/>
      <c r="D23" s="350"/>
      <c r="E23" s="342"/>
      <c r="F23" s="343"/>
      <c r="G23" s="343"/>
      <c r="H23" s="343"/>
      <c r="I23" s="344"/>
      <c r="J23" s="311"/>
      <c r="K23" s="312"/>
      <c r="L23" s="312"/>
      <c r="M23" s="312"/>
      <c r="N23" s="312"/>
      <c r="O23" s="313"/>
      <c r="P23" s="311"/>
      <c r="Q23" s="312"/>
      <c r="R23" s="312"/>
      <c r="S23" s="312"/>
      <c r="T23" s="312"/>
      <c r="U23" s="313"/>
      <c r="V23" s="311"/>
      <c r="W23" s="312"/>
      <c r="X23" s="312"/>
      <c r="Y23" s="312"/>
      <c r="Z23" s="312"/>
      <c r="AA23" s="313"/>
      <c r="AB23" s="329"/>
      <c r="AC23" s="330"/>
      <c r="AD23" s="330"/>
      <c r="AE23" s="330"/>
      <c r="AF23" s="330"/>
      <c r="AG23" s="331"/>
      <c r="AH23" s="320"/>
      <c r="AI23" s="321"/>
      <c r="AJ23" s="321"/>
      <c r="AK23" s="321"/>
      <c r="AL23" s="321"/>
      <c r="AM23" s="322"/>
      <c r="AN23" s="69"/>
      <c r="AO23" s="372"/>
      <c r="AP23" s="373"/>
      <c r="AQ23" s="373"/>
      <c r="AR23" s="373"/>
      <c r="AS23" s="373"/>
      <c r="AT23" s="374"/>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349"/>
      <c r="C24" s="349"/>
      <c r="D24" s="350"/>
      <c r="E24" s="342"/>
      <c r="F24" s="343"/>
      <c r="G24" s="343"/>
      <c r="H24" s="343"/>
      <c r="I24" s="344"/>
      <c r="J24" s="311" t="str">
        <f>IF(AND('Mapa final'!$H$28="Media",'Mapa final'!$L$28="Leve"),CONCATENATE("R",'Mapa final'!$A$28),"")</f>
        <v/>
      </c>
      <c r="K24" s="312"/>
      <c r="L24" s="312" t="str">
        <f>IF(AND('Mapa final'!$H$34="Media",'Mapa final'!$L$34="Leve"),CONCATENATE("R",'Mapa final'!$A$34),"")</f>
        <v/>
      </c>
      <c r="M24" s="312"/>
      <c r="N24" s="312" t="str">
        <f>IF(AND('Mapa final'!$H$40="Media",'Mapa final'!$L$40="Leve"),CONCATENATE("R",'Mapa final'!$A$40),"")</f>
        <v/>
      </c>
      <c r="O24" s="313"/>
      <c r="P24" s="311" t="str">
        <f>IF(AND('Mapa final'!$H$28="Media",'Mapa final'!$L$28="Menor"),CONCATENATE("R",'Mapa final'!$A$28),"")</f>
        <v/>
      </c>
      <c r="Q24" s="312"/>
      <c r="R24" s="312" t="str">
        <f>IF(AND('Mapa final'!$H$34="Media",'Mapa final'!$L$34="Menor"),CONCATENATE("R",'Mapa final'!$A$34),"")</f>
        <v/>
      </c>
      <c r="S24" s="312"/>
      <c r="T24" s="312" t="str">
        <f>IF(AND('Mapa final'!$H$40="Media",'Mapa final'!$L$40="Menor"),CONCATENATE("R",'Mapa final'!$A$40),"")</f>
        <v/>
      </c>
      <c r="U24" s="313"/>
      <c r="V24" s="311" t="str">
        <f>IF(AND('Mapa final'!$H$28="Media",'Mapa final'!$L$28="Moderado"),CONCATENATE("R",'Mapa final'!$A$28),"")</f>
        <v/>
      </c>
      <c r="W24" s="312"/>
      <c r="X24" s="312" t="str">
        <f>IF(AND('Mapa final'!$H$34="Media",'Mapa final'!$L$34="Moderado"),CONCATENATE("R",'Mapa final'!$A$34),"")</f>
        <v/>
      </c>
      <c r="Y24" s="312"/>
      <c r="Z24" s="312" t="str">
        <f>IF(AND('Mapa final'!$H$40="Media",'Mapa final'!$L$40="Moderado"),CONCATENATE("R",'Mapa final'!$A$40),"")</f>
        <v/>
      </c>
      <c r="AA24" s="313"/>
      <c r="AB24" s="329" t="str">
        <f>IF(AND('Mapa final'!$H$28="Media",'Mapa final'!$L$28="Mayor"),CONCATENATE("R",'Mapa final'!$A$28),"")</f>
        <v/>
      </c>
      <c r="AC24" s="330"/>
      <c r="AD24" s="330" t="str">
        <f>IF(AND('Mapa final'!$H$34="Media",'Mapa final'!$L$34="Mayor"),CONCATENATE("R",'Mapa final'!$A$34),"")</f>
        <v/>
      </c>
      <c r="AE24" s="330"/>
      <c r="AF24" s="330" t="str">
        <f>IF(AND('Mapa final'!$H$40="Media",'Mapa final'!$L$40="Mayor"),CONCATENATE("R",'Mapa final'!$A$40),"")</f>
        <v/>
      </c>
      <c r="AG24" s="331"/>
      <c r="AH24" s="320" t="str">
        <f>IF(AND('Mapa final'!$H$28="Media",'Mapa final'!$L$28="Catastrófico"),CONCATENATE("R",'Mapa final'!$A$28),"")</f>
        <v/>
      </c>
      <c r="AI24" s="321"/>
      <c r="AJ24" s="321" t="str">
        <f>IF(AND('Mapa final'!$H$34="Media",'Mapa final'!$L$34="Catastrófico"),CONCATENATE("R",'Mapa final'!$A$34),"")</f>
        <v/>
      </c>
      <c r="AK24" s="321"/>
      <c r="AL24" s="321" t="str">
        <f>IF(AND('Mapa final'!$H$40="Media",'Mapa final'!$L$40="Catastrófico"),CONCATENATE("R",'Mapa final'!$A$40),"")</f>
        <v/>
      </c>
      <c r="AM24" s="322"/>
      <c r="AN24" s="69"/>
      <c r="AO24" s="372"/>
      <c r="AP24" s="373"/>
      <c r="AQ24" s="373"/>
      <c r="AR24" s="373"/>
      <c r="AS24" s="373"/>
      <c r="AT24" s="374"/>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349"/>
      <c r="C25" s="349"/>
      <c r="D25" s="350"/>
      <c r="E25" s="342"/>
      <c r="F25" s="343"/>
      <c r="G25" s="343"/>
      <c r="H25" s="343"/>
      <c r="I25" s="344"/>
      <c r="J25" s="311"/>
      <c r="K25" s="312"/>
      <c r="L25" s="312"/>
      <c r="M25" s="312"/>
      <c r="N25" s="312"/>
      <c r="O25" s="313"/>
      <c r="P25" s="311"/>
      <c r="Q25" s="312"/>
      <c r="R25" s="312"/>
      <c r="S25" s="312"/>
      <c r="T25" s="312"/>
      <c r="U25" s="313"/>
      <c r="V25" s="311"/>
      <c r="W25" s="312"/>
      <c r="X25" s="312"/>
      <c r="Y25" s="312"/>
      <c r="Z25" s="312"/>
      <c r="AA25" s="313"/>
      <c r="AB25" s="329"/>
      <c r="AC25" s="330"/>
      <c r="AD25" s="330"/>
      <c r="AE25" s="330"/>
      <c r="AF25" s="330"/>
      <c r="AG25" s="331"/>
      <c r="AH25" s="320"/>
      <c r="AI25" s="321"/>
      <c r="AJ25" s="321"/>
      <c r="AK25" s="321"/>
      <c r="AL25" s="321"/>
      <c r="AM25" s="322"/>
      <c r="AN25" s="69"/>
      <c r="AO25" s="372"/>
      <c r="AP25" s="373"/>
      <c r="AQ25" s="373"/>
      <c r="AR25" s="373"/>
      <c r="AS25" s="373"/>
      <c r="AT25" s="374"/>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349"/>
      <c r="C26" s="349"/>
      <c r="D26" s="350"/>
      <c r="E26" s="342"/>
      <c r="F26" s="343"/>
      <c r="G26" s="343"/>
      <c r="H26" s="343"/>
      <c r="I26" s="344"/>
      <c r="J26" s="311" t="str">
        <f>IF(AND('Mapa final'!$H$46="Media",'Mapa final'!$L$46="Leve"),CONCATENATE("R",'Mapa final'!$A$46),"")</f>
        <v/>
      </c>
      <c r="K26" s="312"/>
      <c r="L26" s="312" t="str">
        <f>IF(AND('Mapa final'!$H$52="Media",'Mapa final'!$L$52="Leve"),CONCATENATE("R",'Mapa final'!$A$52),"")</f>
        <v/>
      </c>
      <c r="M26" s="312"/>
      <c r="N26" s="312" t="str">
        <f>IF(AND('Mapa final'!$H$58="Media",'Mapa final'!$L$58="Leve"),CONCATENATE("R",'Mapa final'!$A$58),"")</f>
        <v/>
      </c>
      <c r="O26" s="313"/>
      <c r="P26" s="311" t="str">
        <f>IF(AND('Mapa final'!$H$46="Media",'Mapa final'!$L$46="Menor"),CONCATENATE("R",'Mapa final'!$A$46),"")</f>
        <v/>
      </c>
      <c r="Q26" s="312"/>
      <c r="R26" s="312" t="str">
        <f>IF(AND('Mapa final'!$H$52="Media",'Mapa final'!$L$52="Menor"),CONCATENATE("R",'Mapa final'!$A$52),"")</f>
        <v/>
      </c>
      <c r="S26" s="312"/>
      <c r="T26" s="312" t="str">
        <f>IF(AND('Mapa final'!$H$58="Media",'Mapa final'!$L$58="Menor"),CONCATENATE("R",'Mapa final'!$A$58),"")</f>
        <v/>
      </c>
      <c r="U26" s="313"/>
      <c r="V26" s="311" t="str">
        <f>IF(AND('Mapa final'!$H$46="Media",'Mapa final'!$L$46="Moderado"),CONCATENATE("R",'Mapa final'!$A$46),"")</f>
        <v/>
      </c>
      <c r="W26" s="312"/>
      <c r="X26" s="312" t="str">
        <f>IF(AND('Mapa final'!$H$52="Media",'Mapa final'!$L$52="Moderado"),CONCATENATE("R",'Mapa final'!$A$52),"")</f>
        <v/>
      </c>
      <c r="Y26" s="312"/>
      <c r="Z26" s="312" t="str">
        <f>IF(AND('Mapa final'!$H$58="Media",'Mapa final'!$L$58="Moderado"),CONCATENATE("R",'Mapa final'!$A$58),"")</f>
        <v/>
      </c>
      <c r="AA26" s="313"/>
      <c r="AB26" s="329" t="str">
        <f>IF(AND('Mapa final'!$H$46="Media",'Mapa final'!$L$46="Mayor"),CONCATENATE("R",'Mapa final'!$A$46),"")</f>
        <v/>
      </c>
      <c r="AC26" s="330"/>
      <c r="AD26" s="330" t="str">
        <f>IF(AND('Mapa final'!$H$52="Media",'Mapa final'!$L$52="Mayor"),CONCATENATE("R",'Mapa final'!$A$52),"")</f>
        <v/>
      </c>
      <c r="AE26" s="330"/>
      <c r="AF26" s="330" t="str">
        <f>IF(AND('Mapa final'!$H$58="Media",'Mapa final'!$L$58="Mayor"),CONCATENATE("R",'Mapa final'!$A$58),"")</f>
        <v/>
      </c>
      <c r="AG26" s="331"/>
      <c r="AH26" s="320" t="str">
        <f>IF(AND('Mapa final'!$H$46="Media",'Mapa final'!$L$46="Catastrófico"),CONCATENATE("R",'Mapa final'!$A$46),"")</f>
        <v/>
      </c>
      <c r="AI26" s="321"/>
      <c r="AJ26" s="321" t="str">
        <f>IF(AND('Mapa final'!$H$52="Media",'Mapa final'!$L$52="Catastrófico"),CONCATENATE("R",'Mapa final'!$A$52),"")</f>
        <v/>
      </c>
      <c r="AK26" s="321"/>
      <c r="AL26" s="321" t="str">
        <f>IF(AND('Mapa final'!$H$58="Media",'Mapa final'!$L$58="Catastrófico"),CONCATENATE("R",'Mapa final'!$A$58),"")</f>
        <v/>
      </c>
      <c r="AM26" s="322"/>
      <c r="AN26" s="69"/>
      <c r="AO26" s="372"/>
      <c r="AP26" s="373"/>
      <c r="AQ26" s="373"/>
      <c r="AR26" s="373"/>
      <c r="AS26" s="373"/>
      <c r="AT26" s="374"/>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349"/>
      <c r="C27" s="349"/>
      <c r="D27" s="350"/>
      <c r="E27" s="342"/>
      <c r="F27" s="343"/>
      <c r="G27" s="343"/>
      <c r="H27" s="343"/>
      <c r="I27" s="344"/>
      <c r="J27" s="311"/>
      <c r="K27" s="312"/>
      <c r="L27" s="312"/>
      <c r="M27" s="312"/>
      <c r="N27" s="312"/>
      <c r="O27" s="313"/>
      <c r="P27" s="311"/>
      <c r="Q27" s="312"/>
      <c r="R27" s="312"/>
      <c r="S27" s="312"/>
      <c r="T27" s="312"/>
      <c r="U27" s="313"/>
      <c r="V27" s="311"/>
      <c r="W27" s="312"/>
      <c r="X27" s="312"/>
      <c r="Y27" s="312"/>
      <c r="Z27" s="312"/>
      <c r="AA27" s="313"/>
      <c r="AB27" s="329"/>
      <c r="AC27" s="330"/>
      <c r="AD27" s="330"/>
      <c r="AE27" s="330"/>
      <c r="AF27" s="330"/>
      <c r="AG27" s="331"/>
      <c r="AH27" s="320"/>
      <c r="AI27" s="321"/>
      <c r="AJ27" s="321"/>
      <c r="AK27" s="321"/>
      <c r="AL27" s="321"/>
      <c r="AM27" s="322"/>
      <c r="AN27" s="69"/>
      <c r="AO27" s="372"/>
      <c r="AP27" s="373"/>
      <c r="AQ27" s="373"/>
      <c r="AR27" s="373"/>
      <c r="AS27" s="373"/>
      <c r="AT27" s="374"/>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349"/>
      <c r="C28" s="349"/>
      <c r="D28" s="350"/>
      <c r="E28" s="342"/>
      <c r="F28" s="343"/>
      <c r="G28" s="343"/>
      <c r="H28" s="343"/>
      <c r="I28" s="344"/>
      <c r="J28" s="311" t="str">
        <f>IF(AND('Mapa final'!$H$64="Media",'Mapa final'!$L$64="Leve"),CONCATENATE("R",'Mapa final'!$A$64),"")</f>
        <v/>
      </c>
      <c r="K28" s="312"/>
      <c r="L28" s="312" t="str">
        <f>IF(AND('Mapa final'!$H$70="Media",'Mapa final'!$L$70="Leve"),CONCATENATE("R",'Mapa final'!$A$70),"")</f>
        <v/>
      </c>
      <c r="M28" s="312"/>
      <c r="N28" s="312" t="e">
        <f>IF(AND('Mapa final'!#REF!="Media",'Mapa final'!#REF!="Leve"),CONCATENATE("R",'Mapa final'!#REF!),"")</f>
        <v>#REF!</v>
      </c>
      <c r="O28" s="313"/>
      <c r="P28" s="311" t="str">
        <f>IF(AND('Mapa final'!$H$64="Media",'Mapa final'!$L$64="Menor"),CONCATENATE("R",'Mapa final'!$A$64),"")</f>
        <v/>
      </c>
      <c r="Q28" s="312"/>
      <c r="R28" s="312" t="str">
        <f>IF(AND('Mapa final'!$H$70="Media",'Mapa final'!$L$70="Menor"),CONCATENATE("R",'Mapa final'!$A$70),"")</f>
        <v/>
      </c>
      <c r="S28" s="312"/>
      <c r="T28" s="312" t="e">
        <f>IF(AND('Mapa final'!#REF!="Media",'Mapa final'!#REF!="Menor"),CONCATENATE("R",'Mapa final'!#REF!),"")</f>
        <v>#REF!</v>
      </c>
      <c r="U28" s="313"/>
      <c r="V28" s="311" t="str">
        <f>IF(AND('Mapa final'!$H$64="Media",'Mapa final'!$L$64="Moderado"),CONCATENATE("R",'Mapa final'!$A$64),"")</f>
        <v/>
      </c>
      <c r="W28" s="312"/>
      <c r="X28" s="312" t="str">
        <f>IF(AND('Mapa final'!$H$70="Media",'Mapa final'!$L$70="Moderado"),CONCATENATE("R",'Mapa final'!$A$70),"")</f>
        <v/>
      </c>
      <c r="Y28" s="312"/>
      <c r="Z28" s="312" t="e">
        <f>IF(AND('Mapa final'!#REF!="Media",'Mapa final'!#REF!="Moderado"),CONCATENATE("R",'Mapa final'!#REF!),"")</f>
        <v>#REF!</v>
      </c>
      <c r="AA28" s="313"/>
      <c r="AB28" s="329" t="str">
        <f>IF(AND('Mapa final'!$H$64="Media",'Mapa final'!$L$64="Mayor"),CONCATENATE("R",'Mapa final'!$A$64),"")</f>
        <v/>
      </c>
      <c r="AC28" s="330"/>
      <c r="AD28" s="330" t="str">
        <f>IF(AND('Mapa final'!$H$70="Media",'Mapa final'!$L$70="Mayor"),CONCATENATE("R",'Mapa final'!$A$70),"")</f>
        <v/>
      </c>
      <c r="AE28" s="330"/>
      <c r="AF28" s="330" t="e">
        <f>IF(AND('Mapa final'!#REF!="Media",'Mapa final'!#REF!="Mayor"),CONCATENATE("R",'Mapa final'!#REF!),"")</f>
        <v>#REF!</v>
      </c>
      <c r="AG28" s="331"/>
      <c r="AH28" s="320" t="str">
        <f>IF(AND('Mapa final'!$H$64="Media",'Mapa final'!$L$64="Catastrófico"),CONCATENATE("R",'Mapa final'!$A$64),"")</f>
        <v/>
      </c>
      <c r="AI28" s="321"/>
      <c r="AJ28" s="321" t="str">
        <f>IF(AND('Mapa final'!$H$70="Media",'Mapa final'!$L$70="Catastrófico"),CONCATENATE("R",'Mapa final'!$A$70),"")</f>
        <v/>
      </c>
      <c r="AK28" s="321"/>
      <c r="AL28" s="321" t="e">
        <f>IF(AND('Mapa final'!#REF!="Media",'Mapa final'!#REF!="Catastrófico"),CONCATENATE("R",'Mapa final'!#REF!),"")</f>
        <v>#REF!</v>
      </c>
      <c r="AM28" s="322"/>
      <c r="AN28" s="69"/>
      <c r="AO28" s="372"/>
      <c r="AP28" s="373"/>
      <c r="AQ28" s="373"/>
      <c r="AR28" s="373"/>
      <c r="AS28" s="373"/>
      <c r="AT28" s="374"/>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349"/>
      <c r="C29" s="349"/>
      <c r="D29" s="350"/>
      <c r="E29" s="345"/>
      <c r="F29" s="346"/>
      <c r="G29" s="346"/>
      <c r="H29" s="346"/>
      <c r="I29" s="347"/>
      <c r="J29" s="311"/>
      <c r="K29" s="312"/>
      <c r="L29" s="312"/>
      <c r="M29" s="312"/>
      <c r="N29" s="312"/>
      <c r="O29" s="313"/>
      <c r="P29" s="314"/>
      <c r="Q29" s="315"/>
      <c r="R29" s="315"/>
      <c r="S29" s="315"/>
      <c r="T29" s="315"/>
      <c r="U29" s="316"/>
      <c r="V29" s="314"/>
      <c r="W29" s="315"/>
      <c r="X29" s="315"/>
      <c r="Y29" s="315"/>
      <c r="Z29" s="315"/>
      <c r="AA29" s="316"/>
      <c r="AB29" s="332"/>
      <c r="AC29" s="333"/>
      <c r="AD29" s="333"/>
      <c r="AE29" s="333"/>
      <c r="AF29" s="333"/>
      <c r="AG29" s="334"/>
      <c r="AH29" s="323"/>
      <c r="AI29" s="324"/>
      <c r="AJ29" s="324"/>
      <c r="AK29" s="324"/>
      <c r="AL29" s="324"/>
      <c r="AM29" s="325"/>
      <c r="AN29" s="69"/>
      <c r="AO29" s="375"/>
      <c r="AP29" s="376"/>
      <c r="AQ29" s="376"/>
      <c r="AR29" s="376"/>
      <c r="AS29" s="376"/>
      <c r="AT29" s="377"/>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349"/>
      <c r="C30" s="349"/>
      <c r="D30" s="350"/>
      <c r="E30" s="339" t="s">
        <v>114</v>
      </c>
      <c r="F30" s="340"/>
      <c r="G30" s="340"/>
      <c r="H30" s="340"/>
      <c r="I30" s="340"/>
      <c r="J30" s="308" t="str">
        <f>IF(AND('Mapa final'!$H$10="Baja",'Mapa final'!$L$10="Leve"),CONCATENATE("R",'Mapa final'!$A$10),"")</f>
        <v/>
      </c>
      <c r="K30" s="309"/>
      <c r="L30" s="309" t="str">
        <f>IF(AND('Mapa final'!$H$16="Baja",'Mapa final'!$L$16="Leve"),CONCATENATE("R",'Mapa final'!$A$16),"")</f>
        <v/>
      </c>
      <c r="M30" s="309"/>
      <c r="N30" s="309" t="str">
        <f>IF(AND('Mapa final'!$H$22="Baja",'Mapa final'!$L$22="Leve"),CONCATENATE("R",'Mapa final'!$A$22),"")</f>
        <v/>
      </c>
      <c r="O30" s="310"/>
      <c r="P30" s="318" t="str">
        <f>IF(AND('Mapa final'!$H$10="Baja",'Mapa final'!$L$10="Menor"),CONCATENATE("R",'Mapa final'!$A$10),"")</f>
        <v/>
      </c>
      <c r="Q30" s="318"/>
      <c r="R30" s="318" t="str">
        <f>IF(AND('Mapa final'!$H$16="Baja",'Mapa final'!$L$16="Menor"),CONCATENATE("R",'Mapa final'!$A$16),"")</f>
        <v/>
      </c>
      <c r="S30" s="318"/>
      <c r="T30" s="318" t="str">
        <f>IF(AND('Mapa final'!$H$22="Baja",'Mapa final'!$L$22="Menor"),CONCATENATE("R",'Mapa final'!$A$22),"")</f>
        <v/>
      </c>
      <c r="U30" s="319"/>
      <c r="V30" s="317" t="str">
        <f>IF(AND('Mapa final'!$H$10="Baja",'Mapa final'!$L$10="Moderado"),CONCATENATE("R",'Mapa final'!$A$10),"")</f>
        <v>R26</v>
      </c>
      <c r="W30" s="318"/>
      <c r="X30" s="318" t="str">
        <f>IF(AND('Mapa final'!$H$16="Baja",'Mapa final'!$L$16="Moderado"),CONCATENATE("R",'Mapa final'!$A$16),"")</f>
        <v/>
      </c>
      <c r="Y30" s="318"/>
      <c r="Z30" s="318" t="str">
        <f>IF(AND('Mapa final'!$H$22="Baja",'Mapa final'!$L$22="Moderado"),CONCATENATE("R",'Mapa final'!$A$22),"")</f>
        <v/>
      </c>
      <c r="AA30" s="319"/>
      <c r="AB30" s="335" t="str">
        <f>IF(AND('Mapa final'!$H$10="Baja",'Mapa final'!$L$10="Mayor"),CONCATENATE("R",'Mapa final'!$A$10),"")</f>
        <v/>
      </c>
      <c r="AC30" s="336"/>
      <c r="AD30" s="336" t="str">
        <f>IF(AND('Mapa final'!$H$16="Baja",'Mapa final'!$L$16="Mayor"),CONCATENATE("R",'Mapa final'!$A$16),"")</f>
        <v/>
      </c>
      <c r="AE30" s="336"/>
      <c r="AF30" s="336" t="str">
        <f>IF(AND('Mapa final'!$H$22="Baja",'Mapa final'!$L$22="Mayor"),CONCATENATE("R",'Mapa final'!$A$22),"")</f>
        <v/>
      </c>
      <c r="AG30" s="337"/>
      <c r="AH30" s="326" t="str">
        <f>IF(AND('Mapa final'!$H$10="Baja",'Mapa final'!$L$10="Catastrófico"),CONCATENATE("R",'Mapa final'!$A$10),"")</f>
        <v/>
      </c>
      <c r="AI30" s="327"/>
      <c r="AJ30" s="327" t="str">
        <f>IF(AND('Mapa final'!$H$16="Baja",'Mapa final'!$L$16="Catastrófico"),CONCATENATE("R",'Mapa final'!$A$16),"")</f>
        <v/>
      </c>
      <c r="AK30" s="327"/>
      <c r="AL30" s="327" t="str">
        <f>IF(AND('Mapa final'!$H$22="Baja",'Mapa final'!$L$22="Catastrófico"),CONCATENATE("R",'Mapa final'!$A$22),"")</f>
        <v/>
      </c>
      <c r="AM30" s="328"/>
      <c r="AN30" s="69"/>
      <c r="AO30" s="378" t="s">
        <v>82</v>
      </c>
      <c r="AP30" s="379"/>
      <c r="AQ30" s="379"/>
      <c r="AR30" s="379"/>
      <c r="AS30" s="379"/>
      <c r="AT30" s="380"/>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349"/>
      <c r="C31" s="349"/>
      <c r="D31" s="350"/>
      <c r="E31" s="342"/>
      <c r="F31" s="343"/>
      <c r="G31" s="343"/>
      <c r="H31" s="343"/>
      <c r="I31" s="343"/>
      <c r="J31" s="302"/>
      <c r="K31" s="303"/>
      <c r="L31" s="303"/>
      <c r="M31" s="303"/>
      <c r="N31" s="303"/>
      <c r="O31" s="304"/>
      <c r="P31" s="312"/>
      <c r="Q31" s="312"/>
      <c r="R31" s="312"/>
      <c r="S31" s="312"/>
      <c r="T31" s="312"/>
      <c r="U31" s="313"/>
      <c r="V31" s="311"/>
      <c r="W31" s="312"/>
      <c r="X31" s="312"/>
      <c r="Y31" s="312"/>
      <c r="Z31" s="312"/>
      <c r="AA31" s="313"/>
      <c r="AB31" s="329"/>
      <c r="AC31" s="330"/>
      <c r="AD31" s="330"/>
      <c r="AE31" s="330"/>
      <c r="AF31" s="330"/>
      <c r="AG31" s="331"/>
      <c r="AH31" s="320"/>
      <c r="AI31" s="321"/>
      <c r="AJ31" s="321"/>
      <c r="AK31" s="321"/>
      <c r="AL31" s="321"/>
      <c r="AM31" s="322"/>
      <c r="AN31" s="69"/>
      <c r="AO31" s="381"/>
      <c r="AP31" s="382"/>
      <c r="AQ31" s="382"/>
      <c r="AR31" s="382"/>
      <c r="AS31" s="382"/>
      <c r="AT31" s="383"/>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349"/>
      <c r="C32" s="349"/>
      <c r="D32" s="350"/>
      <c r="E32" s="342"/>
      <c r="F32" s="343"/>
      <c r="G32" s="343"/>
      <c r="H32" s="343"/>
      <c r="I32" s="343"/>
      <c r="J32" s="302" t="str">
        <f>IF(AND('Mapa final'!$H$28="Baja",'Mapa final'!$L$28="Leve"),CONCATENATE("R",'Mapa final'!$A$28),"")</f>
        <v/>
      </c>
      <c r="K32" s="303"/>
      <c r="L32" s="303" t="str">
        <f>IF(AND('Mapa final'!$H$34="Baja",'Mapa final'!$L$34="Leve"),CONCATENATE("R",'Mapa final'!$A$34),"")</f>
        <v/>
      </c>
      <c r="M32" s="303"/>
      <c r="N32" s="303" t="str">
        <f>IF(AND('Mapa final'!$H$40="Baja",'Mapa final'!$L$40="Leve"),CONCATENATE("R",'Mapa final'!$A$40),"")</f>
        <v/>
      </c>
      <c r="O32" s="304"/>
      <c r="P32" s="312" t="str">
        <f>IF(AND('Mapa final'!$H$28="Baja",'Mapa final'!$L$28="Menor"),CONCATENATE("R",'Mapa final'!$A$28),"")</f>
        <v/>
      </c>
      <c r="Q32" s="312"/>
      <c r="R32" s="312" t="str">
        <f>IF(AND('Mapa final'!$H$34="Baja",'Mapa final'!$L$34="Menor"),CONCATENATE("R",'Mapa final'!$A$34),"")</f>
        <v/>
      </c>
      <c r="S32" s="312"/>
      <c r="T32" s="312" t="str">
        <f>IF(AND('Mapa final'!$H$40="Baja",'Mapa final'!$L$40="Menor"),CONCATENATE("R",'Mapa final'!$A$40),"")</f>
        <v/>
      </c>
      <c r="U32" s="313"/>
      <c r="V32" s="311" t="str">
        <f>IF(AND('Mapa final'!$H$28="Baja",'Mapa final'!$L$28="Moderado"),CONCATENATE("R",'Mapa final'!$A$28),"")</f>
        <v/>
      </c>
      <c r="W32" s="312"/>
      <c r="X32" s="312" t="str">
        <f>IF(AND('Mapa final'!$H$34="Baja",'Mapa final'!$L$34="Moderado"),CONCATENATE("R",'Mapa final'!$A$34),"")</f>
        <v/>
      </c>
      <c r="Y32" s="312"/>
      <c r="Z32" s="312" t="str">
        <f>IF(AND('Mapa final'!$H$40="Baja",'Mapa final'!$L$40="Moderado"),CONCATENATE("R",'Mapa final'!$A$40),"")</f>
        <v/>
      </c>
      <c r="AA32" s="313"/>
      <c r="AB32" s="329" t="str">
        <f>IF(AND('Mapa final'!$H$28="Baja",'Mapa final'!$L$28="Mayor"),CONCATENATE("R",'Mapa final'!$A$28),"")</f>
        <v/>
      </c>
      <c r="AC32" s="330"/>
      <c r="AD32" s="330" t="str">
        <f>IF(AND('Mapa final'!$H$34="Baja",'Mapa final'!$L$34="Mayor"),CONCATENATE("R",'Mapa final'!$A$34),"")</f>
        <v/>
      </c>
      <c r="AE32" s="330"/>
      <c r="AF32" s="330" t="str">
        <f>IF(AND('Mapa final'!$H$40="Baja",'Mapa final'!$L$40="Mayor"),CONCATENATE("R",'Mapa final'!$A$40),"")</f>
        <v/>
      </c>
      <c r="AG32" s="331"/>
      <c r="AH32" s="320" t="str">
        <f>IF(AND('Mapa final'!$H$28="Baja",'Mapa final'!$L$28="Catastrófico"),CONCATENATE("R",'Mapa final'!$A$28),"")</f>
        <v/>
      </c>
      <c r="AI32" s="321"/>
      <c r="AJ32" s="321" t="str">
        <f>IF(AND('Mapa final'!$H$34="Baja",'Mapa final'!$L$34="Catastrófico"),CONCATENATE("R",'Mapa final'!$A$34),"")</f>
        <v/>
      </c>
      <c r="AK32" s="321"/>
      <c r="AL32" s="321" t="str">
        <f>IF(AND('Mapa final'!$H$40="Baja",'Mapa final'!$L$40="Catastrófico"),CONCATENATE("R",'Mapa final'!$A$40),"")</f>
        <v/>
      </c>
      <c r="AM32" s="322"/>
      <c r="AN32" s="69"/>
      <c r="AO32" s="381"/>
      <c r="AP32" s="382"/>
      <c r="AQ32" s="382"/>
      <c r="AR32" s="382"/>
      <c r="AS32" s="382"/>
      <c r="AT32" s="383"/>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349"/>
      <c r="C33" s="349"/>
      <c r="D33" s="350"/>
      <c r="E33" s="342"/>
      <c r="F33" s="343"/>
      <c r="G33" s="343"/>
      <c r="H33" s="343"/>
      <c r="I33" s="343"/>
      <c r="J33" s="302"/>
      <c r="K33" s="303"/>
      <c r="L33" s="303"/>
      <c r="M33" s="303"/>
      <c r="N33" s="303"/>
      <c r="O33" s="304"/>
      <c r="P33" s="312"/>
      <c r="Q33" s="312"/>
      <c r="R33" s="312"/>
      <c r="S33" s="312"/>
      <c r="T33" s="312"/>
      <c r="U33" s="313"/>
      <c r="V33" s="311"/>
      <c r="W33" s="312"/>
      <c r="X33" s="312"/>
      <c r="Y33" s="312"/>
      <c r="Z33" s="312"/>
      <c r="AA33" s="313"/>
      <c r="AB33" s="329"/>
      <c r="AC33" s="330"/>
      <c r="AD33" s="330"/>
      <c r="AE33" s="330"/>
      <c r="AF33" s="330"/>
      <c r="AG33" s="331"/>
      <c r="AH33" s="320"/>
      <c r="AI33" s="321"/>
      <c r="AJ33" s="321"/>
      <c r="AK33" s="321"/>
      <c r="AL33" s="321"/>
      <c r="AM33" s="322"/>
      <c r="AN33" s="69"/>
      <c r="AO33" s="381"/>
      <c r="AP33" s="382"/>
      <c r="AQ33" s="382"/>
      <c r="AR33" s="382"/>
      <c r="AS33" s="382"/>
      <c r="AT33" s="383"/>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349"/>
      <c r="C34" s="349"/>
      <c r="D34" s="350"/>
      <c r="E34" s="342"/>
      <c r="F34" s="343"/>
      <c r="G34" s="343"/>
      <c r="H34" s="343"/>
      <c r="I34" s="343"/>
      <c r="J34" s="302" t="str">
        <f>IF(AND('Mapa final'!$H$46="Baja",'Mapa final'!$L$46="Leve"),CONCATENATE("R",'Mapa final'!$A$46),"")</f>
        <v/>
      </c>
      <c r="K34" s="303"/>
      <c r="L34" s="303" t="str">
        <f>IF(AND('Mapa final'!$H$52="Baja",'Mapa final'!$L$52="Leve"),CONCATENATE("R",'Mapa final'!$A$52),"")</f>
        <v/>
      </c>
      <c r="M34" s="303"/>
      <c r="N34" s="303" t="str">
        <f>IF(AND('Mapa final'!$H$58="Baja",'Mapa final'!$L$58="Leve"),CONCATENATE("R",'Mapa final'!$A$58),"")</f>
        <v/>
      </c>
      <c r="O34" s="304"/>
      <c r="P34" s="312" t="str">
        <f>IF(AND('Mapa final'!$H$46="Baja",'Mapa final'!$L$46="Menor"),CONCATENATE("R",'Mapa final'!$A$46),"")</f>
        <v/>
      </c>
      <c r="Q34" s="312"/>
      <c r="R34" s="312" t="str">
        <f>IF(AND('Mapa final'!$H$52="Baja",'Mapa final'!$L$52="Menor"),CONCATENATE("R",'Mapa final'!$A$52),"")</f>
        <v/>
      </c>
      <c r="S34" s="312"/>
      <c r="T34" s="312" t="str">
        <f>IF(AND('Mapa final'!$H$58="Baja",'Mapa final'!$L$58="Menor"),CONCATENATE("R",'Mapa final'!$A$58),"")</f>
        <v/>
      </c>
      <c r="U34" s="313"/>
      <c r="V34" s="311" t="str">
        <f>IF(AND('Mapa final'!$H$46="Baja",'Mapa final'!$L$46="Moderado"),CONCATENATE("R",'Mapa final'!$A$46),"")</f>
        <v/>
      </c>
      <c r="W34" s="312"/>
      <c r="X34" s="312" t="str">
        <f>IF(AND('Mapa final'!$H$52="Baja",'Mapa final'!$L$52="Moderado"),CONCATENATE("R",'Mapa final'!$A$52),"")</f>
        <v/>
      </c>
      <c r="Y34" s="312"/>
      <c r="Z34" s="312" t="str">
        <f>IF(AND('Mapa final'!$H$58="Baja",'Mapa final'!$L$58="Moderado"),CONCATENATE("R",'Mapa final'!$A$58),"")</f>
        <v/>
      </c>
      <c r="AA34" s="313"/>
      <c r="AB34" s="329" t="str">
        <f>IF(AND('Mapa final'!$H$46="Baja",'Mapa final'!$L$46="Mayor"),CONCATENATE("R",'Mapa final'!$A$46),"")</f>
        <v/>
      </c>
      <c r="AC34" s="330"/>
      <c r="AD34" s="330" t="str">
        <f>IF(AND('Mapa final'!$H$52="Baja",'Mapa final'!$L$52="Mayor"),CONCATENATE("R",'Mapa final'!$A$52),"")</f>
        <v/>
      </c>
      <c r="AE34" s="330"/>
      <c r="AF34" s="330" t="str">
        <f>IF(AND('Mapa final'!$H$58="Baja",'Mapa final'!$L$58="Mayor"),CONCATENATE("R",'Mapa final'!$A$58),"")</f>
        <v/>
      </c>
      <c r="AG34" s="331"/>
      <c r="AH34" s="320" t="str">
        <f>IF(AND('Mapa final'!$H$46="Baja",'Mapa final'!$L$46="Catastrófico"),CONCATENATE("R",'Mapa final'!$A$46),"")</f>
        <v/>
      </c>
      <c r="AI34" s="321"/>
      <c r="AJ34" s="321" t="str">
        <f>IF(AND('Mapa final'!$H$52="Baja",'Mapa final'!$L$52="Catastrófico"),CONCATENATE("R",'Mapa final'!$A$52),"")</f>
        <v/>
      </c>
      <c r="AK34" s="321"/>
      <c r="AL34" s="321" t="str">
        <f>IF(AND('Mapa final'!$H$58="Baja",'Mapa final'!$L$58="Catastrófico"),CONCATENATE("R",'Mapa final'!$A$58),"")</f>
        <v/>
      </c>
      <c r="AM34" s="322"/>
      <c r="AN34" s="69"/>
      <c r="AO34" s="381"/>
      <c r="AP34" s="382"/>
      <c r="AQ34" s="382"/>
      <c r="AR34" s="382"/>
      <c r="AS34" s="382"/>
      <c r="AT34" s="383"/>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349"/>
      <c r="C35" s="349"/>
      <c r="D35" s="350"/>
      <c r="E35" s="342"/>
      <c r="F35" s="343"/>
      <c r="G35" s="343"/>
      <c r="H35" s="343"/>
      <c r="I35" s="343"/>
      <c r="J35" s="302"/>
      <c r="K35" s="303"/>
      <c r="L35" s="303"/>
      <c r="M35" s="303"/>
      <c r="N35" s="303"/>
      <c r="O35" s="304"/>
      <c r="P35" s="312"/>
      <c r="Q35" s="312"/>
      <c r="R35" s="312"/>
      <c r="S35" s="312"/>
      <c r="T35" s="312"/>
      <c r="U35" s="313"/>
      <c r="V35" s="311"/>
      <c r="W35" s="312"/>
      <c r="X35" s="312"/>
      <c r="Y35" s="312"/>
      <c r="Z35" s="312"/>
      <c r="AA35" s="313"/>
      <c r="AB35" s="329"/>
      <c r="AC35" s="330"/>
      <c r="AD35" s="330"/>
      <c r="AE35" s="330"/>
      <c r="AF35" s="330"/>
      <c r="AG35" s="331"/>
      <c r="AH35" s="320"/>
      <c r="AI35" s="321"/>
      <c r="AJ35" s="321"/>
      <c r="AK35" s="321"/>
      <c r="AL35" s="321"/>
      <c r="AM35" s="322"/>
      <c r="AN35" s="69"/>
      <c r="AO35" s="381"/>
      <c r="AP35" s="382"/>
      <c r="AQ35" s="382"/>
      <c r="AR35" s="382"/>
      <c r="AS35" s="382"/>
      <c r="AT35" s="383"/>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349"/>
      <c r="C36" s="349"/>
      <c r="D36" s="350"/>
      <c r="E36" s="342"/>
      <c r="F36" s="343"/>
      <c r="G36" s="343"/>
      <c r="H36" s="343"/>
      <c r="I36" s="343"/>
      <c r="J36" s="302" t="str">
        <f>IF(AND('Mapa final'!$H$64="Baja",'Mapa final'!$L$64="Leve"),CONCATENATE("R",'Mapa final'!$A$64),"")</f>
        <v/>
      </c>
      <c r="K36" s="303"/>
      <c r="L36" s="303" t="str">
        <f>IF(AND('Mapa final'!$H$70="Baja",'Mapa final'!$L$70="Leve"),CONCATENATE("R",'Mapa final'!$A$70),"")</f>
        <v/>
      </c>
      <c r="M36" s="303"/>
      <c r="N36" s="303" t="e">
        <f>IF(AND('Mapa final'!#REF!="Baja",'Mapa final'!#REF!="Leve"),CONCATENATE("R",'Mapa final'!#REF!),"")</f>
        <v>#REF!</v>
      </c>
      <c r="O36" s="304"/>
      <c r="P36" s="312" t="str">
        <f>IF(AND('Mapa final'!$H$64="Baja",'Mapa final'!$L$64="Menor"),CONCATENATE("R",'Mapa final'!$A$64),"")</f>
        <v/>
      </c>
      <c r="Q36" s="312"/>
      <c r="R36" s="312" t="str">
        <f>IF(AND('Mapa final'!$H$70="Baja",'Mapa final'!$L$70="Menor"),CONCATENATE("R",'Mapa final'!$A$70),"")</f>
        <v/>
      </c>
      <c r="S36" s="312"/>
      <c r="T36" s="312" t="e">
        <f>IF(AND('Mapa final'!#REF!="Baja",'Mapa final'!#REF!="Menor"),CONCATENATE("R",'Mapa final'!#REF!),"")</f>
        <v>#REF!</v>
      </c>
      <c r="U36" s="313"/>
      <c r="V36" s="311" t="str">
        <f>IF(AND('Mapa final'!$H$64="Baja",'Mapa final'!$L$64="Moderado"),CONCATENATE("R",'Mapa final'!$A$64),"")</f>
        <v/>
      </c>
      <c r="W36" s="312"/>
      <c r="X36" s="312" t="str">
        <f>IF(AND('Mapa final'!$H$70="Baja",'Mapa final'!$L$70="Moderado"),CONCATENATE("R",'Mapa final'!$A$70),"")</f>
        <v/>
      </c>
      <c r="Y36" s="312"/>
      <c r="Z36" s="312" t="e">
        <f>IF(AND('Mapa final'!#REF!="Baja",'Mapa final'!#REF!="Moderado"),CONCATENATE("R",'Mapa final'!#REF!),"")</f>
        <v>#REF!</v>
      </c>
      <c r="AA36" s="313"/>
      <c r="AB36" s="329" t="str">
        <f>IF(AND('Mapa final'!$H$64="Baja",'Mapa final'!$L$64="Mayor"),CONCATENATE("R",'Mapa final'!$A$64),"")</f>
        <v/>
      </c>
      <c r="AC36" s="330"/>
      <c r="AD36" s="330" t="str">
        <f>IF(AND('Mapa final'!$H$70="Baja",'Mapa final'!$L$70="Mayor"),CONCATENATE("R",'Mapa final'!$A$70),"")</f>
        <v/>
      </c>
      <c r="AE36" s="330"/>
      <c r="AF36" s="330" t="e">
        <f>IF(AND('Mapa final'!#REF!="Baja",'Mapa final'!#REF!="Mayor"),CONCATENATE("R",'Mapa final'!#REF!),"")</f>
        <v>#REF!</v>
      </c>
      <c r="AG36" s="331"/>
      <c r="AH36" s="320" t="str">
        <f>IF(AND('Mapa final'!$H$64="Baja",'Mapa final'!$L$64="Catastrófico"),CONCATENATE("R",'Mapa final'!$A$64),"")</f>
        <v/>
      </c>
      <c r="AI36" s="321"/>
      <c r="AJ36" s="321" t="str">
        <f>IF(AND('Mapa final'!$H$70="Baja",'Mapa final'!$L$70="Catastrófico"),CONCATENATE("R",'Mapa final'!$A$70),"")</f>
        <v/>
      </c>
      <c r="AK36" s="321"/>
      <c r="AL36" s="321" t="e">
        <f>IF(AND('Mapa final'!#REF!="Baja",'Mapa final'!#REF!="Catastrófico"),CONCATENATE("R",'Mapa final'!#REF!),"")</f>
        <v>#REF!</v>
      </c>
      <c r="AM36" s="322"/>
      <c r="AN36" s="69"/>
      <c r="AO36" s="381"/>
      <c r="AP36" s="382"/>
      <c r="AQ36" s="382"/>
      <c r="AR36" s="382"/>
      <c r="AS36" s="382"/>
      <c r="AT36" s="383"/>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349"/>
      <c r="C37" s="349"/>
      <c r="D37" s="350"/>
      <c r="E37" s="345"/>
      <c r="F37" s="346"/>
      <c r="G37" s="346"/>
      <c r="H37" s="346"/>
      <c r="I37" s="346"/>
      <c r="J37" s="305"/>
      <c r="K37" s="306"/>
      <c r="L37" s="306"/>
      <c r="M37" s="306"/>
      <c r="N37" s="306"/>
      <c r="O37" s="307"/>
      <c r="P37" s="315"/>
      <c r="Q37" s="315"/>
      <c r="R37" s="315"/>
      <c r="S37" s="315"/>
      <c r="T37" s="315"/>
      <c r="U37" s="316"/>
      <c r="V37" s="314"/>
      <c r="W37" s="315"/>
      <c r="X37" s="315"/>
      <c r="Y37" s="315"/>
      <c r="Z37" s="315"/>
      <c r="AA37" s="316"/>
      <c r="AB37" s="332"/>
      <c r="AC37" s="333"/>
      <c r="AD37" s="333"/>
      <c r="AE37" s="333"/>
      <c r="AF37" s="333"/>
      <c r="AG37" s="334"/>
      <c r="AH37" s="323"/>
      <c r="AI37" s="324"/>
      <c r="AJ37" s="324"/>
      <c r="AK37" s="324"/>
      <c r="AL37" s="324"/>
      <c r="AM37" s="325"/>
      <c r="AN37" s="69"/>
      <c r="AO37" s="384"/>
      <c r="AP37" s="385"/>
      <c r="AQ37" s="385"/>
      <c r="AR37" s="385"/>
      <c r="AS37" s="385"/>
      <c r="AT37" s="386"/>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349"/>
      <c r="C38" s="349"/>
      <c r="D38" s="350"/>
      <c r="E38" s="339" t="s">
        <v>113</v>
      </c>
      <c r="F38" s="340"/>
      <c r="G38" s="340"/>
      <c r="H38" s="340"/>
      <c r="I38" s="341"/>
      <c r="J38" s="308" t="str">
        <f>IF(AND('Mapa final'!$H$10="Muy Baja",'Mapa final'!$L$10="Leve"),CONCATENATE("R",'Mapa final'!$A$10),"")</f>
        <v/>
      </c>
      <c r="K38" s="309"/>
      <c r="L38" s="309" t="str">
        <f>IF(AND('Mapa final'!$H$16="Muy Baja",'Mapa final'!$L$16="Leve"),CONCATENATE("R",'Mapa final'!$A$16),"")</f>
        <v/>
      </c>
      <c r="M38" s="309"/>
      <c r="N38" s="309" t="str">
        <f>IF(AND('Mapa final'!$H$22="Muy Baja",'Mapa final'!$L$22="Leve"),CONCATENATE("R",'Mapa final'!$A$22),"")</f>
        <v/>
      </c>
      <c r="O38" s="310"/>
      <c r="P38" s="308" t="str">
        <f>IF(AND('Mapa final'!$H$10="Muy Baja",'Mapa final'!$L$10="Menor"),CONCATENATE("R",'Mapa final'!$A$10),"")</f>
        <v/>
      </c>
      <c r="Q38" s="309"/>
      <c r="R38" s="309" t="str">
        <f>IF(AND('Mapa final'!$H$16="Muy Baja",'Mapa final'!$L$16="Menor"),CONCATENATE("R",'Mapa final'!$A$16),"")</f>
        <v/>
      </c>
      <c r="S38" s="309"/>
      <c r="T38" s="309" t="str">
        <f>IF(AND('Mapa final'!$H$22="Muy Baja",'Mapa final'!$L$22="Menor"),CONCATENATE("R",'Mapa final'!$A$22),"")</f>
        <v/>
      </c>
      <c r="U38" s="310"/>
      <c r="V38" s="317" t="str">
        <f>IF(AND('Mapa final'!$H$10="Muy Baja",'Mapa final'!$L$10="Moderado"),CONCATENATE("R",'Mapa final'!$A$10),"")</f>
        <v/>
      </c>
      <c r="W38" s="318"/>
      <c r="X38" s="318" t="str">
        <f>IF(AND('Mapa final'!$H$16="Muy Baja",'Mapa final'!$L$16="Moderado"),CONCATENATE("R",'Mapa final'!$A$16),"")</f>
        <v/>
      </c>
      <c r="Y38" s="318"/>
      <c r="Z38" s="318" t="str">
        <f>IF(AND('Mapa final'!$H$22="Muy Baja",'Mapa final'!$L$22="Moderado"),CONCATENATE("R",'Mapa final'!$A$22),"")</f>
        <v/>
      </c>
      <c r="AA38" s="319"/>
      <c r="AB38" s="335" t="str">
        <f>IF(AND('Mapa final'!$H$10="Muy Baja",'Mapa final'!$L$10="Mayor"),CONCATENATE("R",'Mapa final'!$A$10),"")</f>
        <v/>
      </c>
      <c r="AC38" s="336"/>
      <c r="AD38" s="336" t="str">
        <f>IF(AND('Mapa final'!$H$16="Muy Baja",'Mapa final'!$L$16="Mayor"),CONCATENATE("R",'Mapa final'!$A$16),"")</f>
        <v/>
      </c>
      <c r="AE38" s="336"/>
      <c r="AF38" s="336" t="str">
        <f>IF(AND('Mapa final'!$H$22="Muy Baja",'Mapa final'!$L$22="Mayor"),CONCATENATE("R",'Mapa final'!$A$22),"")</f>
        <v/>
      </c>
      <c r="AG38" s="337"/>
      <c r="AH38" s="326" t="str">
        <f>IF(AND('Mapa final'!$H$10="Muy Baja",'Mapa final'!$L$10="Catastrófico"),CONCATENATE("R",'Mapa final'!$A$10),"")</f>
        <v/>
      </c>
      <c r="AI38" s="327"/>
      <c r="AJ38" s="327" t="str">
        <f>IF(AND('Mapa final'!$H$16="Muy Baja",'Mapa final'!$L$16="Catastrófico"),CONCATENATE("R",'Mapa final'!$A$16),"")</f>
        <v/>
      </c>
      <c r="AK38" s="327"/>
      <c r="AL38" s="327" t="str">
        <f>IF(AND('Mapa final'!$H$22="Muy Baja",'Mapa final'!$L$22="Catastrófico"),CONCATENATE("R",'Mapa final'!$A$22),"")</f>
        <v/>
      </c>
      <c r="AM38" s="328"/>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349"/>
      <c r="C39" s="349"/>
      <c r="D39" s="350"/>
      <c r="E39" s="342"/>
      <c r="F39" s="343"/>
      <c r="G39" s="343"/>
      <c r="H39" s="343"/>
      <c r="I39" s="344"/>
      <c r="J39" s="302"/>
      <c r="K39" s="303"/>
      <c r="L39" s="303"/>
      <c r="M39" s="303"/>
      <c r="N39" s="303"/>
      <c r="O39" s="304"/>
      <c r="P39" s="302"/>
      <c r="Q39" s="303"/>
      <c r="R39" s="303"/>
      <c r="S39" s="303"/>
      <c r="T39" s="303"/>
      <c r="U39" s="304"/>
      <c r="V39" s="311"/>
      <c r="W39" s="312"/>
      <c r="X39" s="312"/>
      <c r="Y39" s="312"/>
      <c r="Z39" s="312"/>
      <c r="AA39" s="313"/>
      <c r="AB39" s="329"/>
      <c r="AC39" s="330"/>
      <c r="AD39" s="330"/>
      <c r="AE39" s="330"/>
      <c r="AF39" s="330"/>
      <c r="AG39" s="331"/>
      <c r="AH39" s="320"/>
      <c r="AI39" s="321"/>
      <c r="AJ39" s="321"/>
      <c r="AK39" s="321"/>
      <c r="AL39" s="321"/>
      <c r="AM39" s="322"/>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349"/>
      <c r="C40" s="349"/>
      <c r="D40" s="350"/>
      <c r="E40" s="342"/>
      <c r="F40" s="343"/>
      <c r="G40" s="343"/>
      <c r="H40" s="343"/>
      <c r="I40" s="344"/>
      <c r="J40" s="302" t="str">
        <f>IF(AND('Mapa final'!$H$28="Muy Baja",'Mapa final'!$L$28="Leve"),CONCATENATE("R",'Mapa final'!$A$28),"")</f>
        <v/>
      </c>
      <c r="K40" s="303"/>
      <c r="L40" s="303" t="str">
        <f>IF(AND('Mapa final'!$H$34="Muy Baja",'Mapa final'!$L$34="Leve"),CONCATENATE("R",'Mapa final'!$A$34),"")</f>
        <v/>
      </c>
      <c r="M40" s="303"/>
      <c r="N40" s="303" t="str">
        <f>IF(AND('Mapa final'!$H$40="Muy Baja",'Mapa final'!$L$40="Leve"),CONCATENATE("R",'Mapa final'!$A$40),"")</f>
        <v/>
      </c>
      <c r="O40" s="304"/>
      <c r="P40" s="302" t="str">
        <f>IF(AND('Mapa final'!$H$28="Muy Baja",'Mapa final'!$L$28="Menor"),CONCATENATE("R",'Mapa final'!$A$28),"")</f>
        <v/>
      </c>
      <c r="Q40" s="303"/>
      <c r="R40" s="303" t="str">
        <f>IF(AND('Mapa final'!$H$34="Muy Baja",'Mapa final'!$L$34="Menor"),CONCATENATE("R",'Mapa final'!$A$34),"")</f>
        <v/>
      </c>
      <c r="S40" s="303"/>
      <c r="T40" s="303" t="str">
        <f>IF(AND('Mapa final'!$H$40="Muy Baja",'Mapa final'!$L$40="Menor"),CONCATENATE("R",'Mapa final'!$A$40),"")</f>
        <v/>
      </c>
      <c r="U40" s="304"/>
      <c r="V40" s="311" t="str">
        <f>IF(AND('Mapa final'!$H$28="Muy Baja",'Mapa final'!$L$28="Moderado"),CONCATENATE("R",'Mapa final'!$A$28),"")</f>
        <v/>
      </c>
      <c r="W40" s="312"/>
      <c r="X40" s="312" t="str">
        <f>IF(AND('Mapa final'!$H$34="Muy Baja",'Mapa final'!$L$34="Moderado"),CONCATENATE("R",'Mapa final'!$A$34),"")</f>
        <v/>
      </c>
      <c r="Y40" s="312"/>
      <c r="Z40" s="312" t="str">
        <f>IF(AND('Mapa final'!$H$40="Muy Baja",'Mapa final'!$L$40="Moderado"),CONCATENATE("R",'Mapa final'!$A$40),"")</f>
        <v/>
      </c>
      <c r="AA40" s="313"/>
      <c r="AB40" s="329" t="str">
        <f>IF(AND('Mapa final'!$H$28="Muy Baja",'Mapa final'!$L$28="Mayor"),CONCATENATE("R",'Mapa final'!$A$28),"")</f>
        <v/>
      </c>
      <c r="AC40" s="330"/>
      <c r="AD40" s="330" t="str">
        <f>IF(AND('Mapa final'!$H$34="Muy Baja",'Mapa final'!$L$34="Mayor"),CONCATENATE("R",'Mapa final'!$A$34),"")</f>
        <v/>
      </c>
      <c r="AE40" s="330"/>
      <c r="AF40" s="330" t="str">
        <f>IF(AND('Mapa final'!$H$40="Muy Baja",'Mapa final'!$L$40="Mayor"),CONCATENATE("R",'Mapa final'!$A$40),"")</f>
        <v/>
      </c>
      <c r="AG40" s="331"/>
      <c r="AH40" s="320" t="str">
        <f>IF(AND('Mapa final'!$H$28="Muy Baja",'Mapa final'!$L$28="Catastrófico"),CONCATENATE("R",'Mapa final'!$A$28),"")</f>
        <v/>
      </c>
      <c r="AI40" s="321"/>
      <c r="AJ40" s="321" t="str">
        <f>IF(AND('Mapa final'!$H$34="Muy Baja",'Mapa final'!$L$34="Catastrófico"),CONCATENATE("R",'Mapa final'!$A$34),"")</f>
        <v/>
      </c>
      <c r="AK40" s="321"/>
      <c r="AL40" s="321" t="str">
        <f>IF(AND('Mapa final'!$H$40="Muy Baja",'Mapa final'!$L$40="Catastrófico"),CONCATENATE("R",'Mapa final'!$A$40),"")</f>
        <v/>
      </c>
      <c r="AM40" s="322"/>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349"/>
      <c r="C41" s="349"/>
      <c r="D41" s="350"/>
      <c r="E41" s="342"/>
      <c r="F41" s="343"/>
      <c r="G41" s="343"/>
      <c r="H41" s="343"/>
      <c r="I41" s="344"/>
      <c r="J41" s="302"/>
      <c r="K41" s="303"/>
      <c r="L41" s="303"/>
      <c r="M41" s="303"/>
      <c r="N41" s="303"/>
      <c r="O41" s="304"/>
      <c r="P41" s="302"/>
      <c r="Q41" s="303"/>
      <c r="R41" s="303"/>
      <c r="S41" s="303"/>
      <c r="T41" s="303"/>
      <c r="U41" s="304"/>
      <c r="V41" s="311"/>
      <c r="W41" s="312"/>
      <c r="X41" s="312"/>
      <c r="Y41" s="312"/>
      <c r="Z41" s="312"/>
      <c r="AA41" s="313"/>
      <c r="AB41" s="329"/>
      <c r="AC41" s="330"/>
      <c r="AD41" s="330"/>
      <c r="AE41" s="330"/>
      <c r="AF41" s="330"/>
      <c r="AG41" s="331"/>
      <c r="AH41" s="320"/>
      <c r="AI41" s="321"/>
      <c r="AJ41" s="321"/>
      <c r="AK41" s="321"/>
      <c r="AL41" s="321"/>
      <c r="AM41" s="322"/>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349"/>
      <c r="C42" s="349"/>
      <c r="D42" s="350"/>
      <c r="E42" s="342"/>
      <c r="F42" s="343"/>
      <c r="G42" s="343"/>
      <c r="H42" s="343"/>
      <c r="I42" s="344"/>
      <c r="J42" s="302" t="str">
        <f>IF(AND('Mapa final'!$H$46="Muy Baja",'Mapa final'!$L$46="Leve"),CONCATENATE("R",'Mapa final'!$A$46),"")</f>
        <v/>
      </c>
      <c r="K42" s="303"/>
      <c r="L42" s="303" t="str">
        <f>IF(AND('Mapa final'!$H$52="Muy Baja",'Mapa final'!$L$52="Leve"),CONCATENATE("R",'Mapa final'!$A$52),"")</f>
        <v/>
      </c>
      <c r="M42" s="303"/>
      <c r="N42" s="303" t="str">
        <f>IF(AND('Mapa final'!$H$58="Muy Baja",'Mapa final'!$L$58="Leve"),CONCATENATE("R",'Mapa final'!$A$58),"")</f>
        <v/>
      </c>
      <c r="O42" s="304"/>
      <c r="P42" s="302" t="str">
        <f>IF(AND('Mapa final'!$H$46="Muy Baja",'Mapa final'!$L$46="Menor"),CONCATENATE("R",'Mapa final'!$A$46),"")</f>
        <v/>
      </c>
      <c r="Q42" s="303"/>
      <c r="R42" s="303" t="str">
        <f>IF(AND('Mapa final'!$H$52="Muy Baja",'Mapa final'!$L$52="Menor"),CONCATENATE("R",'Mapa final'!$A$52),"")</f>
        <v/>
      </c>
      <c r="S42" s="303"/>
      <c r="T42" s="303" t="str">
        <f>IF(AND('Mapa final'!$H$58="Muy Baja",'Mapa final'!$L$58="Menor"),CONCATENATE("R",'Mapa final'!$A$58),"")</f>
        <v/>
      </c>
      <c r="U42" s="304"/>
      <c r="V42" s="311" t="str">
        <f>IF(AND('Mapa final'!$H$46="Muy Baja",'Mapa final'!$L$46="Moderado"),CONCATENATE("R",'Mapa final'!$A$46),"")</f>
        <v/>
      </c>
      <c r="W42" s="312"/>
      <c r="X42" s="312" t="str">
        <f>IF(AND('Mapa final'!$H$52="Muy Baja",'Mapa final'!$L$52="Moderado"),CONCATENATE("R",'Mapa final'!$A$52),"")</f>
        <v/>
      </c>
      <c r="Y42" s="312"/>
      <c r="Z42" s="312" t="str">
        <f>IF(AND('Mapa final'!$H$58="Muy Baja",'Mapa final'!$L$58="Moderado"),CONCATENATE("R",'Mapa final'!$A$58),"")</f>
        <v/>
      </c>
      <c r="AA42" s="313"/>
      <c r="AB42" s="329" t="str">
        <f>IF(AND('Mapa final'!$H$46="Muy Baja",'Mapa final'!$L$46="Mayor"),CONCATENATE("R",'Mapa final'!$A$46),"")</f>
        <v/>
      </c>
      <c r="AC42" s="330"/>
      <c r="AD42" s="330" t="str">
        <f>IF(AND('Mapa final'!$H$52="Muy Baja",'Mapa final'!$L$52="Mayor"),CONCATENATE("R",'Mapa final'!$A$52),"")</f>
        <v/>
      </c>
      <c r="AE42" s="330"/>
      <c r="AF42" s="330" t="str">
        <f>IF(AND('Mapa final'!$H$58="Muy Baja",'Mapa final'!$L$58="Mayor"),CONCATENATE("R",'Mapa final'!$A$58),"")</f>
        <v/>
      </c>
      <c r="AG42" s="331"/>
      <c r="AH42" s="320" t="str">
        <f>IF(AND('Mapa final'!$H$46="Muy Baja",'Mapa final'!$L$46="Catastrófico"),CONCATENATE("R",'Mapa final'!$A$46),"")</f>
        <v/>
      </c>
      <c r="AI42" s="321"/>
      <c r="AJ42" s="321" t="str">
        <f>IF(AND('Mapa final'!$H$52="Muy Baja",'Mapa final'!$L$52="Catastrófico"),CONCATENATE("R",'Mapa final'!$A$52),"")</f>
        <v/>
      </c>
      <c r="AK42" s="321"/>
      <c r="AL42" s="321" t="str">
        <f>IF(AND('Mapa final'!$H$58="Muy Baja",'Mapa final'!$L$58="Catastrófico"),CONCATENATE("R",'Mapa final'!$A$58),"")</f>
        <v/>
      </c>
      <c r="AM42" s="322"/>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349"/>
      <c r="C43" s="349"/>
      <c r="D43" s="350"/>
      <c r="E43" s="342"/>
      <c r="F43" s="343"/>
      <c r="G43" s="343"/>
      <c r="H43" s="343"/>
      <c r="I43" s="344"/>
      <c r="J43" s="302"/>
      <c r="K43" s="303"/>
      <c r="L43" s="303"/>
      <c r="M43" s="303"/>
      <c r="N43" s="303"/>
      <c r="O43" s="304"/>
      <c r="P43" s="302"/>
      <c r="Q43" s="303"/>
      <c r="R43" s="303"/>
      <c r="S43" s="303"/>
      <c r="T43" s="303"/>
      <c r="U43" s="304"/>
      <c r="V43" s="311"/>
      <c r="W43" s="312"/>
      <c r="X43" s="312"/>
      <c r="Y43" s="312"/>
      <c r="Z43" s="312"/>
      <c r="AA43" s="313"/>
      <c r="AB43" s="329"/>
      <c r="AC43" s="330"/>
      <c r="AD43" s="330"/>
      <c r="AE43" s="330"/>
      <c r="AF43" s="330"/>
      <c r="AG43" s="331"/>
      <c r="AH43" s="320"/>
      <c r="AI43" s="321"/>
      <c r="AJ43" s="321"/>
      <c r="AK43" s="321"/>
      <c r="AL43" s="321"/>
      <c r="AM43" s="322"/>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349"/>
      <c r="C44" s="349"/>
      <c r="D44" s="350"/>
      <c r="E44" s="342"/>
      <c r="F44" s="343"/>
      <c r="G44" s="343"/>
      <c r="H44" s="343"/>
      <c r="I44" s="344"/>
      <c r="J44" s="302" t="str">
        <f>IF(AND('Mapa final'!$H$64="Muy Baja",'Mapa final'!$L$64="Leve"),CONCATENATE("R",'Mapa final'!$A$64),"")</f>
        <v/>
      </c>
      <c r="K44" s="303"/>
      <c r="L44" s="303" t="str">
        <f>IF(AND('Mapa final'!$H$70="Muy Baja",'Mapa final'!$L$70="Leve"),CONCATENATE("R",'Mapa final'!$A$70),"")</f>
        <v/>
      </c>
      <c r="M44" s="303"/>
      <c r="N44" s="303" t="e">
        <f>IF(AND('Mapa final'!#REF!="Muy Baja",'Mapa final'!#REF!="Leve"),CONCATENATE("R",'Mapa final'!#REF!),"")</f>
        <v>#REF!</v>
      </c>
      <c r="O44" s="304"/>
      <c r="P44" s="302" t="str">
        <f>IF(AND('Mapa final'!$H$64="Muy Baja",'Mapa final'!$L$64="Menor"),CONCATENATE("R",'Mapa final'!$A$64),"")</f>
        <v/>
      </c>
      <c r="Q44" s="303"/>
      <c r="R44" s="303" t="str">
        <f>IF(AND('Mapa final'!$H$70="Muy Baja",'Mapa final'!$L$70="Menor"),CONCATENATE("R",'Mapa final'!$A$70),"")</f>
        <v/>
      </c>
      <c r="S44" s="303"/>
      <c r="T44" s="303" t="e">
        <f>IF(AND('Mapa final'!#REF!="Muy Baja",'Mapa final'!#REF!="Menor"),CONCATENATE("R",'Mapa final'!#REF!),"")</f>
        <v>#REF!</v>
      </c>
      <c r="U44" s="304"/>
      <c r="V44" s="311" t="str">
        <f>IF(AND('Mapa final'!$H$64="Muy Baja",'Mapa final'!$L$64="Moderado"),CONCATENATE("R",'Mapa final'!$A$64),"")</f>
        <v/>
      </c>
      <c r="W44" s="312"/>
      <c r="X44" s="312" t="str">
        <f>IF(AND('Mapa final'!$H$70="Muy Baja",'Mapa final'!$L$70="Moderado"),CONCATENATE("R",'Mapa final'!$A$70),"")</f>
        <v/>
      </c>
      <c r="Y44" s="312"/>
      <c r="Z44" s="312" t="e">
        <f>IF(AND('Mapa final'!#REF!="Muy Baja",'Mapa final'!#REF!="Moderado"),CONCATENATE("R",'Mapa final'!#REF!),"")</f>
        <v>#REF!</v>
      </c>
      <c r="AA44" s="313"/>
      <c r="AB44" s="329" t="str">
        <f>IF(AND('Mapa final'!$H$64="Muy Baja",'Mapa final'!$L$64="Mayor"),CONCATENATE("R",'Mapa final'!$A$64),"")</f>
        <v/>
      </c>
      <c r="AC44" s="330"/>
      <c r="AD44" s="330" t="str">
        <f>IF(AND('Mapa final'!$H$70="Muy Baja",'Mapa final'!$L$70="Mayor"),CONCATENATE("R",'Mapa final'!$A$70),"")</f>
        <v/>
      </c>
      <c r="AE44" s="330"/>
      <c r="AF44" s="330" t="e">
        <f>IF(AND('Mapa final'!#REF!="Muy Baja",'Mapa final'!#REF!="Mayor"),CONCATENATE("R",'Mapa final'!#REF!),"")</f>
        <v>#REF!</v>
      </c>
      <c r="AG44" s="331"/>
      <c r="AH44" s="320" t="str">
        <f>IF(AND('Mapa final'!$H$64="Muy Baja",'Mapa final'!$L$64="Catastrófico"),CONCATENATE("R",'Mapa final'!$A$64),"")</f>
        <v/>
      </c>
      <c r="AI44" s="321"/>
      <c r="AJ44" s="321" t="str">
        <f>IF(AND('Mapa final'!$H$70="Muy Baja",'Mapa final'!$L$70="Catastrófico"),CONCATENATE("R",'Mapa final'!$A$70),"")</f>
        <v/>
      </c>
      <c r="AK44" s="321"/>
      <c r="AL44" s="321" t="e">
        <f>IF(AND('Mapa final'!#REF!="Muy Baja",'Mapa final'!#REF!="Catastrófico"),CONCATENATE("R",'Mapa final'!#REF!),"")</f>
        <v>#REF!</v>
      </c>
      <c r="AM44" s="322"/>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349"/>
      <c r="C45" s="349"/>
      <c r="D45" s="350"/>
      <c r="E45" s="345"/>
      <c r="F45" s="346"/>
      <c r="G45" s="346"/>
      <c r="H45" s="346"/>
      <c r="I45" s="347"/>
      <c r="J45" s="305"/>
      <c r="K45" s="306"/>
      <c r="L45" s="306"/>
      <c r="M45" s="306"/>
      <c r="N45" s="306"/>
      <c r="O45" s="307"/>
      <c r="P45" s="305"/>
      <c r="Q45" s="306"/>
      <c r="R45" s="306"/>
      <c r="S45" s="306"/>
      <c r="T45" s="306"/>
      <c r="U45" s="307"/>
      <c r="V45" s="314"/>
      <c r="W45" s="315"/>
      <c r="X45" s="315"/>
      <c r="Y45" s="315"/>
      <c r="Z45" s="315"/>
      <c r="AA45" s="316"/>
      <c r="AB45" s="332"/>
      <c r="AC45" s="333"/>
      <c r="AD45" s="333"/>
      <c r="AE45" s="333"/>
      <c r="AF45" s="333"/>
      <c r="AG45" s="334"/>
      <c r="AH45" s="323"/>
      <c r="AI45" s="324"/>
      <c r="AJ45" s="324"/>
      <c r="AK45" s="324"/>
      <c r="AL45" s="324"/>
      <c r="AM45" s="325"/>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339" t="s">
        <v>112</v>
      </c>
      <c r="K46" s="340"/>
      <c r="L46" s="340"/>
      <c r="M46" s="340"/>
      <c r="N46" s="340"/>
      <c r="O46" s="341"/>
      <c r="P46" s="339" t="s">
        <v>111</v>
      </c>
      <c r="Q46" s="340"/>
      <c r="R46" s="340"/>
      <c r="S46" s="340"/>
      <c r="T46" s="340"/>
      <c r="U46" s="341"/>
      <c r="V46" s="339" t="s">
        <v>110</v>
      </c>
      <c r="W46" s="340"/>
      <c r="X46" s="340"/>
      <c r="Y46" s="340"/>
      <c r="Z46" s="340"/>
      <c r="AA46" s="341"/>
      <c r="AB46" s="339" t="s">
        <v>109</v>
      </c>
      <c r="AC46" s="348"/>
      <c r="AD46" s="340"/>
      <c r="AE46" s="340"/>
      <c r="AF46" s="340"/>
      <c r="AG46" s="341"/>
      <c r="AH46" s="339" t="s">
        <v>108</v>
      </c>
      <c r="AI46" s="340"/>
      <c r="AJ46" s="340"/>
      <c r="AK46" s="340"/>
      <c r="AL46" s="340"/>
      <c r="AM46" s="341"/>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342"/>
      <c r="K47" s="343"/>
      <c r="L47" s="343"/>
      <c r="M47" s="343"/>
      <c r="N47" s="343"/>
      <c r="O47" s="344"/>
      <c r="P47" s="342"/>
      <c r="Q47" s="343"/>
      <c r="R47" s="343"/>
      <c r="S47" s="343"/>
      <c r="T47" s="343"/>
      <c r="U47" s="344"/>
      <c r="V47" s="342"/>
      <c r="W47" s="343"/>
      <c r="X47" s="343"/>
      <c r="Y47" s="343"/>
      <c r="Z47" s="343"/>
      <c r="AA47" s="344"/>
      <c r="AB47" s="342"/>
      <c r="AC47" s="343"/>
      <c r="AD47" s="343"/>
      <c r="AE47" s="343"/>
      <c r="AF47" s="343"/>
      <c r="AG47" s="344"/>
      <c r="AH47" s="342"/>
      <c r="AI47" s="343"/>
      <c r="AJ47" s="343"/>
      <c r="AK47" s="343"/>
      <c r="AL47" s="343"/>
      <c r="AM47" s="344"/>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342"/>
      <c r="K48" s="343"/>
      <c r="L48" s="343"/>
      <c r="M48" s="343"/>
      <c r="N48" s="343"/>
      <c r="O48" s="344"/>
      <c r="P48" s="342"/>
      <c r="Q48" s="343"/>
      <c r="R48" s="343"/>
      <c r="S48" s="343"/>
      <c r="T48" s="343"/>
      <c r="U48" s="344"/>
      <c r="V48" s="342"/>
      <c r="W48" s="343"/>
      <c r="X48" s="343"/>
      <c r="Y48" s="343"/>
      <c r="Z48" s="343"/>
      <c r="AA48" s="344"/>
      <c r="AB48" s="342"/>
      <c r="AC48" s="343"/>
      <c r="AD48" s="343"/>
      <c r="AE48" s="343"/>
      <c r="AF48" s="343"/>
      <c r="AG48" s="344"/>
      <c r="AH48" s="342"/>
      <c r="AI48" s="343"/>
      <c r="AJ48" s="343"/>
      <c r="AK48" s="343"/>
      <c r="AL48" s="343"/>
      <c r="AM48" s="344"/>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342"/>
      <c r="K49" s="343"/>
      <c r="L49" s="343"/>
      <c r="M49" s="343"/>
      <c r="N49" s="343"/>
      <c r="O49" s="344"/>
      <c r="P49" s="342"/>
      <c r="Q49" s="343"/>
      <c r="R49" s="343"/>
      <c r="S49" s="343"/>
      <c r="T49" s="343"/>
      <c r="U49" s="344"/>
      <c r="V49" s="342"/>
      <c r="W49" s="343"/>
      <c r="X49" s="343"/>
      <c r="Y49" s="343"/>
      <c r="Z49" s="343"/>
      <c r="AA49" s="344"/>
      <c r="AB49" s="342"/>
      <c r="AC49" s="343"/>
      <c r="AD49" s="343"/>
      <c r="AE49" s="343"/>
      <c r="AF49" s="343"/>
      <c r="AG49" s="344"/>
      <c r="AH49" s="342"/>
      <c r="AI49" s="343"/>
      <c r="AJ49" s="343"/>
      <c r="AK49" s="343"/>
      <c r="AL49" s="343"/>
      <c r="AM49" s="344"/>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342"/>
      <c r="K50" s="343"/>
      <c r="L50" s="343"/>
      <c r="M50" s="343"/>
      <c r="N50" s="343"/>
      <c r="O50" s="344"/>
      <c r="P50" s="342"/>
      <c r="Q50" s="343"/>
      <c r="R50" s="343"/>
      <c r="S50" s="343"/>
      <c r="T50" s="343"/>
      <c r="U50" s="344"/>
      <c r="V50" s="342"/>
      <c r="W50" s="343"/>
      <c r="X50" s="343"/>
      <c r="Y50" s="343"/>
      <c r="Z50" s="343"/>
      <c r="AA50" s="344"/>
      <c r="AB50" s="342"/>
      <c r="AC50" s="343"/>
      <c r="AD50" s="343"/>
      <c r="AE50" s="343"/>
      <c r="AF50" s="343"/>
      <c r="AG50" s="344"/>
      <c r="AH50" s="342"/>
      <c r="AI50" s="343"/>
      <c r="AJ50" s="343"/>
      <c r="AK50" s="343"/>
      <c r="AL50" s="343"/>
      <c r="AM50" s="344"/>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345"/>
      <c r="K51" s="346"/>
      <c r="L51" s="346"/>
      <c r="M51" s="346"/>
      <c r="N51" s="346"/>
      <c r="O51" s="347"/>
      <c r="P51" s="345"/>
      <c r="Q51" s="346"/>
      <c r="R51" s="346"/>
      <c r="S51" s="346"/>
      <c r="T51" s="346"/>
      <c r="U51" s="347"/>
      <c r="V51" s="345"/>
      <c r="W51" s="346"/>
      <c r="X51" s="346"/>
      <c r="Y51" s="346"/>
      <c r="Z51" s="346"/>
      <c r="AA51" s="347"/>
      <c r="AB51" s="345"/>
      <c r="AC51" s="346"/>
      <c r="AD51" s="346"/>
      <c r="AE51" s="346"/>
      <c r="AF51" s="346"/>
      <c r="AG51" s="347"/>
      <c r="AH51" s="345"/>
      <c r="AI51" s="346"/>
      <c r="AJ51" s="346"/>
      <c r="AK51" s="346"/>
      <c r="AL51" s="346"/>
      <c r="AM51" s="347"/>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36" zoomScale="50" zoomScaleNormal="50" workbookViewId="0">
      <selection activeCell="Y49" sqref="Y4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416" t="s">
        <v>159</v>
      </c>
      <c r="C2" s="417"/>
      <c r="D2" s="417"/>
      <c r="E2" s="417"/>
      <c r="F2" s="417"/>
      <c r="G2" s="417"/>
      <c r="H2" s="417"/>
      <c r="I2" s="417"/>
      <c r="J2" s="338" t="s">
        <v>2</v>
      </c>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417"/>
      <c r="C3" s="417"/>
      <c r="D3" s="417"/>
      <c r="E3" s="417"/>
      <c r="F3" s="417"/>
      <c r="G3" s="417"/>
      <c r="H3" s="417"/>
      <c r="I3" s="417"/>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417"/>
      <c r="C4" s="417"/>
      <c r="D4" s="417"/>
      <c r="E4" s="417"/>
      <c r="F4" s="417"/>
      <c r="G4" s="417"/>
      <c r="H4" s="417"/>
      <c r="I4" s="417"/>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349" t="s">
        <v>4</v>
      </c>
      <c r="C6" s="349"/>
      <c r="D6" s="350"/>
      <c r="E6" s="387" t="s">
        <v>116</v>
      </c>
      <c r="F6" s="388"/>
      <c r="G6" s="388"/>
      <c r="H6" s="388"/>
      <c r="I6" s="389"/>
      <c r="J6" s="32" t="str">
        <f>IF(AND('Mapa final'!$Y$10="Muy Alta",'Mapa final'!$AA$10="Leve"),CONCATENATE("R1C",'Mapa final'!$O$10),"")</f>
        <v/>
      </c>
      <c r="K6" s="33" t="str">
        <f>IF(AND('Mapa final'!$Y$11="Muy Alta",'Mapa final'!$AA$11="Leve"),CONCATENATE("R1C",'Mapa final'!$O$11),"")</f>
        <v/>
      </c>
      <c r="L6" s="33" t="str">
        <f>IF(AND('Mapa final'!$Y$12="Muy Alta",'Mapa final'!$AA$12="Leve"),CONCATENATE("R1C",'Mapa final'!$O$12),"")</f>
        <v/>
      </c>
      <c r="M6" s="33" t="str">
        <f>IF(AND('Mapa final'!$Y$13="Muy Alta",'Mapa final'!$AA$13="Leve"),CONCATENATE("R1C",'Mapa final'!$O$13),"")</f>
        <v/>
      </c>
      <c r="N6" s="33" t="str">
        <f>IF(AND('Mapa final'!$Y$14="Muy Alta",'Mapa final'!$AA$14="Leve"),CONCATENATE("R1C",'Mapa final'!$O$14),"")</f>
        <v/>
      </c>
      <c r="O6" s="34" t="str">
        <f>IF(AND('Mapa final'!$Y$15="Muy Alta",'Mapa final'!$AA$15="Leve"),CONCATENATE("R1C",'Mapa final'!$O$15),"")</f>
        <v/>
      </c>
      <c r="P6" s="32" t="str">
        <f>IF(AND('Mapa final'!$Y$10="Muy Alta",'Mapa final'!$AA$10="Menor"),CONCATENATE("R1C",'Mapa final'!$O$10),"")</f>
        <v/>
      </c>
      <c r="Q6" s="33" t="str">
        <f>IF(AND('Mapa final'!$Y$11="Muy Alta",'Mapa final'!$AA$11="Menor"),CONCATENATE("R1C",'Mapa final'!$O$11),"")</f>
        <v/>
      </c>
      <c r="R6" s="33" t="str">
        <f>IF(AND('Mapa final'!$Y$12="Muy Alta",'Mapa final'!$AA$12="Menor"),CONCATENATE("R1C",'Mapa final'!$O$12),"")</f>
        <v/>
      </c>
      <c r="S6" s="33" t="str">
        <f>IF(AND('Mapa final'!$Y$13="Muy Alta",'Mapa final'!$AA$13="Menor"),CONCATENATE("R1C",'Mapa final'!$O$13),"")</f>
        <v/>
      </c>
      <c r="T6" s="33" t="str">
        <f>IF(AND('Mapa final'!$Y$14="Muy Alta",'Mapa final'!$AA$14="Menor"),CONCATENATE("R1C",'Mapa final'!$O$14),"")</f>
        <v/>
      </c>
      <c r="U6" s="34" t="str">
        <f>IF(AND('Mapa final'!$Y$15="Muy Alta",'Mapa final'!$AA$15="Menor"),CONCATENATE("R1C",'Mapa final'!$O$15),"")</f>
        <v/>
      </c>
      <c r="V6" s="32" t="str">
        <f>IF(AND('Mapa final'!$Y$10="Muy Alta",'Mapa final'!$AA$10="Moderado"),CONCATENATE("R1C",'Mapa final'!$O$10),"")</f>
        <v/>
      </c>
      <c r="W6" s="33" t="str">
        <f>IF(AND('Mapa final'!$Y$11="Muy Alta",'Mapa final'!$AA$11="Moderado"),CONCATENATE("R1C",'Mapa final'!$O$11),"")</f>
        <v/>
      </c>
      <c r="X6" s="33" t="str">
        <f>IF(AND('Mapa final'!$Y$12="Muy Alta",'Mapa final'!$AA$12="Moderado"),CONCATENATE("R1C",'Mapa final'!$O$12),"")</f>
        <v/>
      </c>
      <c r="Y6" s="33" t="str">
        <f>IF(AND('Mapa final'!$Y$13="Muy Alta",'Mapa final'!$AA$13="Moderado"),CONCATENATE("R1C",'Mapa final'!$O$13),"")</f>
        <v/>
      </c>
      <c r="Z6" s="33" t="str">
        <f>IF(AND('Mapa final'!$Y$14="Muy Alta",'Mapa final'!$AA$14="Moderado"),CONCATENATE("R1C",'Mapa final'!$O$14),"")</f>
        <v/>
      </c>
      <c r="AA6" s="34" t="str">
        <f>IF(AND('Mapa final'!$Y$15="Muy Alta",'Mapa final'!$AA$15="Moderado"),CONCATENATE("R1C",'Mapa final'!$O$15),"")</f>
        <v/>
      </c>
      <c r="AB6" s="32" t="str">
        <f>IF(AND('Mapa final'!$Y$10="Muy Alta",'Mapa final'!$AA$10="Mayor"),CONCATENATE("R1C",'Mapa final'!$O$10),"")</f>
        <v/>
      </c>
      <c r="AC6" s="33" t="str">
        <f>IF(AND('Mapa final'!$Y$11="Muy Alta",'Mapa final'!$AA$11="Mayor"),CONCATENATE("R1C",'Mapa final'!$O$11),"")</f>
        <v/>
      </c>
      <c r="AD6" s="33" t="str">
        <f>IF(AND('Mapa final'!$Y$12="Muy Alta",'Mapa final'!$AA$12="Mayor"),CONCATENATE("R1C",'Mapa final'!$O$12),"")</f>
        <v/>
      </c>
      <c r="AE6" s="33" t="str">
        <f>IF(AND('Mapa final'!$Y$13="Muy Alta",'Mapa final'!$AA$13="Mayor"),CONCATENATE("R1C",'Mapa final'!$O$13),"")</f>
        <v/>
      </c>
      <c r="AF6" s="33" t="str">
        <f>IF(AND('Mapa final'!$Y$14="Muy Alta",'Mapa final'!$AA$14="Mayor"),CONCATENATE("R1C",'Mapa final'!$O$14),"")</f>
        <v/>
      </c>
      <c r="AG6" s="34" t="str">
        <f>IF(AND('Mapa final'!$Y$15="Muy Alta",'Mapa final'!$AA$15="Mayor"),CONCATENATE("R1C",'Mapa final'!$O$15),"")</f>
        <v/>
      </c>
      <c r="AH6" s="35" t="str">
        <f>IF(AND('Mapa final'!$Y$10="Muy Alta",'Mapa final'!$AA$10="Catastrófico"),CONCATENATE("R1C",'Mapa final'!$O$10),"")</f>
        <v/>
      </c>
      <c r="AI6" s="36" t="str">
        <f>IF(AND('Mapa final'!$Y$11="Muy Alta",'Mapa final'!$AA$11="Catastrófico"),CONCATENATE("R1C",'Mapa final'!$O$11),"")</f>
        <v/>
      </c>
      <c r="AJ6" s="36" t="str">
        <f>IF(AND('Mapa final'!$Y$12="Muy Alta",'Mapa final'!$AA$12="Catastrófico"),CONCATENATE("R1C",'Mapa final'!$O$12),"")</f>
        <v/>
      </c>
      <c r="AK6" s="36" t="str">
        <f>IF(AND('Mapa final'!$Y$13="Muy Alta",'Mapa final'!$AA$13="Catastrófico"),CONCATENATE("R1C",'Mapa final'!$O$13),"")</f>
        <v/>
      </c>
      <c r="AL6" s="36" t="str">
        <f>IF(AND('Mapa final'!$Y$14="Muy Alta",'Mapa final'!$AA$14="Catastrófico"),CONCATENATE("R1C",'Mapa final'!$O$14),"")</f>
        <v/>
      </c>
      <c r="AM6" s="37" t="str">
        <f>IF(AND('Mapa final'!$Y$15="Muy Alta",'Mapa final'!$AA$15="Catastrófico"),CONCATENATE("R1C",'Mapa final'!$O$15),"")</f>
        <v/>
      </c>
      <c r="AN6" s="69"/>
      <c r="AO6" s="407" t="s">
        <v>79</v>
      </c>
      <c r="AP6" s="408"/>
      <c r="AQ6" s="408"/>
      <c r="AR6" s="408"/>
      <c r="AS6" s="408"/>
      <c r="AT6" s="40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349"/>
      <c r="C7" s="349"/>
      <c r="D7" s="350"/>
      <c r="E7" s="390"/>
      <c r="F7" s="391"/>
      <c r="G7" s="391"/>
      <c r="H7" s="391"/>
      <c r="I7" s="392"/>
      <c r="J7" s="38" t="str">
        <f>IF(AND('Mapa final'!$Y$16="Muy Alta",'Mapa final'!$AA$16="Leve"),CONCATENATE("R2C",'Mapa final'!$O$16),"")</f>
        <v/>
      </c>
      <c r="K7" s="39" t="str">
        <f>IF(AND('Mapa final'!$Y$17="Muy Alta",'Mapa final'!$AA$17="Leve"),CONCATENATE("R2C",'Mapa final'!$O$17),"")</f>
        <v/>
      </c>
      <c r="L7" s="39" t="str">
        <f>IF(AND('Mapa final'!$Y$18="Muy Alta",'Mapa final'!$AA$18="Leve"),CONCATENATE("R2C",'Mapa final'!$O$18),"")</f>
        <v/>
      </c>
      <c r="M7" s="39" t="str">
        <f>IF(AND('Mapa final'!$Y$19="Muy Alta",'Mapa final'!$AA$19="Leve"),CONCATENATE("R2C",'Mapa final'!$O$19),"")</f>
        <v/>
      </c>
      <c r="N7" s="39" t="str">
        <f>IF(AND('Mapa final'!$Y$20="Muy Alta",'Mapa final'!$AA$20="Leve"),CONCATENATE("R2C",'Mapa final'!$O$20),"")</f>
        <v/>
      </c>
      <c r="O7" s="40" t="str">
        <f>IF(AND('Mapa final'!$Y$21="Muy Alta",'Mapa final'!$AA$21="Leve"),CONCATENATE("R2C",'Mapa final'!$O$21),"")</f>
        <v/>
      </c>
      <c r="P7" s="38" t="str">
        <f>IF(AND('Mapa final'!$Y$16="Muy Alta",'Mapa final'!$AA$16="Menor"),CONCATENATE("R2C",'Mapa final'!$O$16),"")</f>
        <v/>
      </c>
      <c r="Q7" s="39" t="str">
        <f>IF(AND('Mapa final'!$Y$17="Muy Alta",'Mapa final'!$AA$17="Menor"),CONCATENATE("R2C",'Mapa final'!$O$17),"")</f>
        <v/>
      </c>
      <c r="R7" s="39" t="str">
        <f>IF(AND('Mapa final'!$Y$18="Muy Alta",'Mapa final'!$AA$18="Menor"),CONCATENATE("R2C",'Mapa final'!$O$18),"")</f>
        <v/>
      </c>
      <c r="S7" s="39" t="str">
        <f>IF(AND('Mapa final'!$Y$19="Muy Alta",'Mapa final'!$AA$19="Menor"),CONCATENATE("R2C",'Mapa final'!$O$19),"")</f>
        <v/>
      </c>
      <c r="T7" s="39" t="str">
        <f>IF(AND('Mapa final'!$Y$20="Muy Alta",'Mapa final'!$AA$20="Menor"),CONCATENATE("R2C",'Mapa final'!$O$20),"")</f>
        <v/>
      </c>
      <c r="U7" s="40" t="str">
        <f>IF(AND('Mapa final'!$Y$21="Muy Alta",'Mapa final'!$AA$21="Menor"),CONCATENATE("R2C",'Mapa final'!$O$21),"")</f>
        <v/>
      </c>
      <c r="V7" s="38" t="str">
        <f>IF(AND('Mapa final'!$Y$16="Muy Alta",'Mapa final'!$AA$16="Moderado"),CONCATENATE("R2C",'Mapa final'!$O$16),"")</f>
        <v/>
      </c>
      <c r="W7" s="39" t="str">
        <f>IF(AND('Mapa final'!$Y$17="Muy Alta",'Mapa final'!$AA$17="Moderado"),CONCATENATE("R2C",'Mapa final'!$O$17),"")</f>
        <v/>
      </c>
      <c r="X7" s="39" t="str">
        <f>IF(AND('Mapa final'!$Y$18="Muy Alta",'Mapa final'!$AA$18="Moderado"),CONCATENATE("R2C",'Mapa final'!$O$18),"")</f>
        <v/>
      </c>
      <c r="Y7" s="39" t="str">
        <f>IF(AND('Mapa final'!$Y$19="Muy Alta",'Mapa final'!$AA$19="Moderado"),CONCATENATE("R2C",'Mapa final'!$O$19),"")</f>
        <v/>
      </c>
      <c r="Z7" s="39" t="str">
        <f>IF(AND('Mapa final'!$Y$20="Muy Alta",'Mapa final'!$AA$20="Moderado"),CONCATENATE("R2C",'Mapa final'!$O$20),"")</f>
        <v/>
      </c>
      <c r="AA7" s="40" t="str">
        <f>IF(AND('Mapa final'!$Y$21="Muy Alta",'Mapa final'!$AA$21="Moderado"),CONCATENATE("R2C",'Mapa final'!$O$21),"")</f>
        <v/>
      </c>
      <c r="AB7" s="38" t="str">
        <f>IF(AND('Mapa final'!$Y$16="Muy Alta",'Mapa final'!$AA$16="Mayor"),CONCATENATE("R2C",'Mapa final'!$O$16),"")</f>
        <v/>
      </c>
      <c r="AC7" s="39" t="str">
        <f>IF(AND('Mapa final'!$Y$17="Muy Alta",'Mapa final'!$AA$17="Mayor"),CONCATENATE("R2C",'Mapa final'!$O$17),"")</f>
        <v/>
      </c>
      <c r="AD7" s="39" t="str">
        <f>IF(AND('Mapa final'!$Y$18="Muy Alta",'Mapa final'!$AA$18="Mayor"),CONCATENATE("R2C",'Mapa final'!$O$18),"")</f>
        <v/>
      </c>
      <c r="AE7" s="39" t="str">
        <f>IF(AND('Mapa final'!$Y$19="Muy Alta",'Mapa final'!$AA$19="Mayor"),CONCATENATE("R2C",'Mapa final'!$O$19),"")</f>
        <v/>
      </c>
      <c r="AF7" s="39" t="str">
        <f>IF(AND('Mapa final'!$Y$20="Muy Alta",'Mapa final'!$AA$20="Mayor"),CONCATENATE("R2C",'Mapa final'!$O$20),"")</f>
        <v/>
      </c>
      <c r="AG7" s="40" t="str">
        <f>IF(AND('Mapa final'!$Y$21="Muy Alta",'Mapa final'!$AA$21="Mayor"),CONCATENATE("R2C",'Mapa final'!$O$21),"")</f>
        <v/>
      </c>
      <c r="AH7" s="41" t="str">
        <f>IF(AND('Mapa final'!$Y$16="Muy Alta",'Mapa final'!$AA$16="Catastrófico"),CONCATENATE("R2C",'Mapa final'!$O$16),"")</f>
        <v/>
      </c>
      <c r="AI7" s="42" t="str">
        <f>IF(AND('Mapa final'!$Y$17="Muy Alta",'Mapa final'!$AA$17="Catastrófico"),CONCATENATE("R2C",'Mapa final'!$O$17),"")</f>
        <v/>
      </c>
      <c r="AJ7" s="42" t="str">
        <f>IF(AND('Mapa final'!$Y$18="Muy Alta",'Mapa final'!$AA$18="Catastrófico"),CONCATENATE("R2C",'Mapa final'!$O$18),"")</f>
        <v/>
      </c>
      <c r="AK7" s="42" t="str">
        <f>IF(AND('Mapa final'!$Y$19="Muy Alta",'Mapa final'!$AA$19="Catastrófico"),CONCATENATE("R2C",'Mapa final'!$O$19),"")</f>
        <v/>
      </c>
      <c r="AL7" s="42" t="str">
        <f>IF(AND('Mapa final'!$Y$20="Muy Alta",'Mapa final'!$AA$20="Catastrófico"),CONCATENATE("R2C",'Mapa final'!$O$20),"")</f>
        <v/>
      </c>
      <c r="AM7" s="43" t="str">
        <f>IF(AND('Mapa final'!$Y$21="Muy Alta",'Mapa final'!$AA$21="Catastrófico"),CONCATENATE("R2C",'Mapa final'!$O$21),"")</f>
        <v/>
      </c>
      <c r="AN7" s="69"/>
      <c r="AO7" s="410"/>
      <c r="AP7" s="411"/>
      <c r="AQ7" s="411"/>
      <c r="AR7" s="411"/>
      <c r="AS7" s="411"/>
      <c r="AT7" s="412"/>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349"/>
      <c r="C8" s="349"/>
      <c r="D8" s="350"/>
      <c r="E8" s="390"/>
      <c r="F8" s="391"/>
      <c r="G8" s="391"/>
      <c r="H8" s="391"/>
      <c r="I8" s="392"/>
      <c r="J8" s="38" t="str">
        <f>IF(AND('Mapa final'!$Y$22="Muy Alta",'Mapa final'!$AA$22="Leve"),CONCATENATE("R3C",'Mapa final'!$O$22),"")</f>
        <v/>
      </c>
      <c r="K8" s="39" t="str">
        <f>IF(AND('Mapa final'!$Y$23="Muy Alta",'Mapa final'!$AA$23="Leve"),CONCATENATE("R3C",'Mapa final'!$O$23),"")</f>
        <v/>
      </c>
      <c r="L8" s="39" t="str">
        <f>IF(AND('Mapa final'!$Y$24="Muy Alta",'Mapa final'!$AA$24="Leve"),CONCATENATE("R3C",'Mapa final'!$O$24),"")</f>
        <v/>
      </c>
      <c r="M8" s="39" t="str">
        <f>IF(AND('Mapa final'!$Y$25="Muy Alta",'Mapa final'!$AA$25="Leve"),CONCATENATE("R3C",'Mapa final'!$O$25),"")</f>
        <v/>
      </c>
      <c r="N8" s="39" t="str">
        <f>IF(AND('Mapa final'!$Y$26="Muy Alta",'Mapa final'!$AA$26="Leve"),CONCATENATE("R3C",'Mapa final'!$O$26),"")</f>
        <v/>
      </c>
      <c r="O8" s="40" t="str">
        <f>IF(AND('Mapa final'!$Y$27="Muy Alta",'Mapa final'!$AA$27="Leve"),CONCATENATE("R3C",'Mapa final'!$O$27),"")</f>
        <v/>
      </c>
      <c r="P8" s="38" t="str">
        <f>IF(AND('Mapa final'!$Y$22="Muy Alta",'Mapa final'!$AA$22="Menor"),CONCATENATE("R3C",'Mapa final'!$O$22),"")</f>
        <v/>
      </c>
      <c r="Q8" s="39" t="str">
        <f>IF(AND('Mapa final'!$Y$23="Muy Alta",'Mapa final'!$AA$23="Menor"),CONCATENATE("R3C",'Mapa final'!$O$23),"")</f>
        <v/>
      </c>
      <c r="R8" s="39" t="str">
        <f>IF(AND('Mapa final'!$Y$24="Muy Alta",'Mapa final'!$AA$24="Menor"),CONCATENATE("R3C",'Mapa final'!$O$24),"")</f>
        <v/>
      </c>
      <c r="S8" s="39" t="str">
        <f>IF(AND('Mapa final'!$Y$25="Muy Alta",'Mapa final'!$AA$25="Menor"),CONCATENATE("R3C",'Mapa final'!$O$25),"")</f>
        <v/>
      </c>
      <c r="T8" s="39" t="str">
        <f>IF(AND('Mapa final'!$Y$26="Muy Alta",'Mapa final'!$AA$26="Menor"),CONCATENATE("R3C",'Mapa final'!$O$26),"")</f>
        <v/>
      </c>
      <c r="U8" s="40" t="str">
        <f>IF(AND('Mapa final'!$Y$27="Muy Alta",'Mapa final'!$AA$27="Menor"),CONCATENATE("R3C",'Mapa final'!$O$27),"")</f>
        <v/>
      </c>
      <c r="V8" s="38" t="str">
        <f>IF(AND('Mapa final'!$Y$22="Muy Alta",'Mapa final'!$AA$22="Moderado"),CONCATENATE("R3C",'Mapa final'!$O$22),"")</f>
        <v/>
      </c>
      <c r="W8" s="39" t="str">
        <f>IF(AND('Mapa final'!$Y$23="Muy Alta",'Mapa final'!$AA$23="Moderado"),CONCATENATE("R3C",'Mapa final'!$O$23),"")</f>
        <v/>
      </c>
      <c r="X8" s="39" t="str">
        <f>IF(AND('Mapa final'!$Y$24="Muy Alta",'Mapa final'!$AA$24="Moderado"),CONCATENATE("R3C",'Mapa final'!$O$24),"")</f>
        <v/>
      </c>
      <c r="Y8" s="39" t="str">
        <f>IF(AND('Mapa final'!$Y$25="Muy Alta",'Mapa final'!$AA$25="Moderado"),CONCATENATE("R3C",'Mapa final'!$O$25),"")</f>
        <v/>
      </c>
      <c r="Z8" s="39" t="str">
        <f>IF(AND('Mapa final'!$Y$26="Muy Alta",'Mapa final'!$AA$26="Moderado"),CONCATENATE("R3C",'Mapa final'!$O$26),"")</f>
        <v/>
      </c>
      <c r="AA8" s="40" t="str">
        <f>IF(AND('Mapa final'!$Y$27="Muy Alta",'Mapa final'!$AA$27="Moderado"),CONCATENATE("R3C",'Mapa final'!$O$27),"")</f>
        <v/>
      </c>
      <c r="AB8" s="38" t="str">
        <f>IF(AND('Mapa final'!$Y$22="Muy Alta",'Mapa final'!$AA$22="Mayor"),CONCATENATE("R3C",'Mapa final'!$O$22),"")</f>
        <v/>
      </c>
      <c r="AC8" s="39" t="str">
        <f>IF(AND('Mapa final'!$Y$23="Muy Alta",'Mapa final'!$AA$23="Mayor"),CONCATENATE("R3C",'Mapa final'!$O$23),"")</f>
        <v/>
      </c>
      <c r="AD8" s="39" t="str">
        <f>IF(AND('Mapa final'!$Y$24="Muy Alta",'Mapa final'!$AA$24="Mayor"),CONCATENATE("R3C",'Mapa final'!$O$24),"")</f>
        <v/>
      </c>
      <c r="AE8" s="39" t="str">
        <f>IF(AND('Mapa final'!$Y$25="Muy Alta",'Mapa final'!$AA$25="Mayor"),CONCATENATE("R3C",'Mapa final'!$O$25),"")</f>
        <v/>
      </c>
      <c r="AF8" s="39" t="str">
        <f>IF(AND('Mapa final'!$Y$26="Muy Alta",'Mapa final'!$AA$26="Mayor"),CONCATENATE("R3C",'Mapa final'!$O$26),"")</f>
        <v/>
      </c>
      <c r="AG8" s="40" t="str">
        <f>IF(AND('Mapa final'!$Y$27="Muy Alta",'Mapa final'!$AA$27="Mayor"),CONCATENATE("R3C",'Mapa final'!$O$27),"")</f>
        <v/>
      </c>
      <c r="AH8" s="41" t="str">
        <f>IF(AND('Mapa final'!$Y$22="Muy Alta",'Mapa final'!$AA$22="Catastrófico"),CONCATENATE("R3C",'Mapa final'!$O$22),"")</f>
        <v/>
      </c>
      <c r="AI8" s="42" t="str">
        <f>IF(AND('Mapa final'!$Y$23="Muy Alta",'Mapa final'!$AA$23="Catastrófico"),CONCATENATE("R3C",'Mapa final'!$O$23),"")</f>
        <v/>
      </c>
      <c r="AJ8" s="42" t="str">
        <f>IF(AND('Mapa final'!$Y$24="Muy Alta",'Mapa final'!$AA$24="Catastrófico"),CONCATENATE("R3C",'Mapa final'!$O$24),"")</f>
        <v/>
      </c>
      <c r="AK8" s="42" t="str">
        <f>IF(AND('Mapa final'!$Y$25="Muy Alta",'Mapa final'!$AA$25="Catastrófico"),CONCATENATE("R3C",'Mapa final'!$O$25),"")</f>
        <v/>
      </c>
      <c r="AL8" s="42" t="str">
        <f>IF(AND('Mapa final'!$Y$26="Muy Alta",'Mapa final'!$AA$26="Catastrófico"),CONCATENATE("R3C",'Mapa final'!$O$26),"")</f>
        <v/>
      </c>
      <c r="AM8" s="43" t="str">
        <f>IF(AND('Mapa final'!$Y$27="Muy Alta",'Mapa final'!$AA$27="Catastrófico"),CONCATENATE("R3C",'Mapa final'!$O$27),"")</f>
        <v/>
      </c>
      <c r="AN8" s="69"/>
      <c r="AO8" s="410"/>
      <c r="AP8" s="411"/>
      <c r="AQ8" s="411"/>
      <c r="AR8" s="411"/>
      <c r="AS8" s="411"/>
      <c r="AT8" s="412"/>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349"/>
      <c r="C9" s="349"/>
      <c r="D9" s="350"/>
      <c r="E9" s="390"/>
      <c r="F9" s="391"/>
      <c r="G9" s="391"/>
      <c r="H9" s="391"/>
      <c r="I9" s="392"/>
      <c r="J9" s="38" t="str">
        <f>IF(AND('Mapa final'!$Y$28="Muy Alta",'Mapa final'!$AA$28="Leve"),CONCATENATE("R4C",'Mapa final'!$O$28),"")</f>
        <v/>
      </c>
      <c r="K9" s="39" t="str">
        <f>IF(AND('Mapa final'!$Y$29="Muy Alta",'Mapa final'!$AA$29="Leve"),CONCATENATE("R4C",'Mapa final'!$O$29),"")</f>
        <v/>
      </c>
      <c r="L9" s="39" t="str">
        <f>IF(AND('Mapa final'!$Y$30="Muy Alta",'Mapa final'!$AA$30="Leve"),CONCATENATE("R4C",'Mapa final'!$O$30),"")</f>
        <v/>
      </c>
      <c r="M9" s="39" t="str">
        <f>IF(AND('Mapa final'!$Y$31="Muy Alta",'Mapa final'!$AA$31="Leve"),CONCATENATE("R4C",'Mapa final'!$O$31),"")</f>
        <v/>
      </c>
      <c r="N9" s="39" t="str">
        <f>IF(AND('Mapa final'!$Y$32="Muy Alta",'Mapa final'!$AA$32="Leve"),CONCATENATE("R4C",'Mapa final'!$O$32),"")</f>
        <v/>
      </c>
      <c r="O9" s="40" t="str">
        <f>IF(AND('Mapa final'!$Y$33="Muy Alta",'Mapa final'!$AA$33="Leve"),CONCATENATE("R4C",'Mapa final'!$O$33),"")</f>
        <v/>
      </c>
      <c r="P9" s="38" t="str">
        <f>IF(AND('Mapa final'!$Y$28="Muy Alta",'Mapa final'!$AA$28="Menor"),CONCATENATE("R4C",'Mapa final'!$O$28),"")</f>
        <v/>
      </c>
      <c r="Q9" s="39" t="str">
        <f>IF(AND('Mapa final'!$Y$29="Muy Alta",'Mapa final'!$AA$29="Menor"),CONCATENATE("R4C",'Mapa final'!$O$29),"")</f>
        <v/>
      </c>
      <c r="R9" s="39" t="str">
        <f>IF(AND('Mapa final'!$Y$30="Muy Alta",'Mapa final'!$AA$30="Menor"),CONCATENATE("R4C",'Mapa final'!$O$30),"")</f>
        <v/>
      </c>
      <c r="S9" s="39" t="str">
        <f>IF(AND('Mapa final'!$Y$31="Muy Alta",'Mapa final'!$AA$31="Menor"),CONCATENATE("R4C",'Mapa final'!$O$31),"")</f>
        <v/>
      </c>
      <c r="T9" s="39" t="str">
        <f>IF(AND('Mapa final'!$Y$32="Muy Alta",'Mapa final'!$AA$32="Menor"),CONCATENATE("R4C",'Mapa final'!$O$32),"")</f>
        <v/>
      </c>
      <c r="U9" s="40" t="str">
        <f>IF(AND('Mapa final'!$Y$33="Muy Alta",'Mapa final'!$AA$33="Menor"),CONCATENATE("R4C",'Mapa final'!$O$33),"")</f>
        <v/>
      </c>
      <c r="V9" s="38" t="str">
        <f>IF(AND('Mapa final'!$Y$28="Muy Alta",'Mapa final'!$AA$28="Moderado"),CONCATENATE("R4C",'Mapa final'!$O$28),"")</f>
        <v/>
      </c>
      <c r="W9" s="39" t="str">
        <f>IF(AND('Mapa final'!$Y$29="Muy Alta",'Mapa final'!$AA$29="Moderado"),CONCATENATE("R4C",'Mapa final'!$O$29),"")</f>
        <v/>
      </c>
      <c r="X9" s="39" t="str">
        <f>IF(AND('Mapa final'!$Y$30="Muy Alta",'Mapa final'!$AA$30="Moderado"),CONCATENATE("R4C",'Mapa final'!$O$30),"")</f>
        <v/>
      </c>
      <c r="Y9" s="39" t="str">
        <f>IF(AND('Mapa final'!$Y$31="Muy Alta",'Mapa final'!$AA$31="Moderado"),CONCATENATE("R4C",'Mapa final'!$O$31),"")</f>
        <v/>
      </c>
      <c r="Z9" s="39" t="str">
        <f>IF(AND('Mapa final'!$Y$32="Muy Alta",'Mapa final'!$AA$32="Moderado"),CONCATENATE("R4C",'Mapa final'!$O$32),"")</f>
        <v/>
      </c>
      <c r="AA9" s="40" t="str">
        <f>IF(AND('Mapa final'!$Y$33="Muy Alta",'Mapa final'!$AA$33="Moderado"),CONCATENATE("R4C",'Mapa final'!$O$33),"")</f>
        <v/>
      </c>
      <c r="AB9" s="38" t="str">
        <f>IF(AND('Mapa final'!$Y$28="Muy Alta",'Mapa final'!$AA$28="Mayor"),CONCATENATE("R4C",'Mapa final'!$O$28),"")</f>
        <v/>
      </c>
      <c r="AC9" s="39" t="str">
        <f>IF(AND('Mapa final'!$Y$29="Muy Alta",'Mapa final'!$AA$29="Mayor"),CONCATENATE("R4C",'Mapa final'!$O$29),"")</f>
        <v/>
      </c>
      <c r="AD9" s="39" t="str">
        <f>IF(AND('Mapa final'!$Y$30="Muy Alta",'Mapa final'!$AA$30="Mayor"),CONCATENATE("R4C",'Mapa final'!$O$30),"")</f>
        <v/>
      </c>
      <c r="AE9" s="39" t="str">
        <f>IF(AND('Mapa final'!$Y$31="Muy Alta",'Mapa final'!$AA$31="Mayor"),CONCATENATE("R4C",'Mapa final'!$O$31),"")</f>
        <v/>
      </c>
      <c r="AF9" s="39" t="str">
        <f>IF(AND('Mapa final'!$Y$32="Muy Alta",'Mapa final'!$AA$32="Mayor"),CONCATENATE("R4C",'Mapa final'!$O$32),"")</f>
        <v/>
      </c>
      <c r="AG9" s="40" t="str">
        <f>IF(AND('Mapa final'!$Y$33="Muy Alta",'Mapa final'!$AA$33="Mayor"),CONCATENATE("R4C",'Mapa final'!$O$33),"")</f>
        <v/>
      </c>
      <c r="AH9" s="41" t="str">
        <f>IF(AND('Mapa final'!$Y$28="Muy Alta",'Mapa final'!$AA$28="Catastrófico"),CONCATENATE("R4C",'Mapa final'!$O$28),"")</f>
        <v/>
      </c>
      <c r="AI9" s="42" t="str">
        <f>IF(AND('Mapa final'!$Y$29="Muy Alta",'Mapa final'!$AA$29="Catastrófico"),CONCATENATE("R4C",'Mapa final'!$O$29),"")</f>
        <v/>
      </c>
      <c r="AJ9" s="42" t="str">
        <f>IF(AND('Mapa final'!$Y$30="Muy Alta",'Mapa final'!$AA$30="Catastrófico"),CONCATENATE("R4C",'Mapa final'!$O$30),"")</f>
        <v/>
      </c>
      <c r="AK9" s="42" t="str">
        <f>IF(AND('Mapa final'!$Y$31="Muy Alta",'Mapa final'!$AA$31="Catastrófico"),CONCATENATE("R4C",'Mapa final'!$O$31),"")</f>
        <v/>
      </c>
      <c r="AL9" s="42" t="str">
        <f>IF(AND('Mapa final'!$Y$32="Muy Alta",'Mapa final'!$AA$32="Catastrófico"),CONCATENATE("R4C",'Mapa final'!$O$32),"")</f>
        <v/>
      </c>
      <c r="AM9" s="43" t="str">
        <f>IF(AND('Mapa final'!$Y$33="Muy Alta",'Mapa final'!$AA$33="Catastrófico"),CONCATENATE("R4C",'Mapa final'!$O$33),"")</f>
        <v/>
      </c>
      <c r="AN9" s="69"/>
      <c r="AO9" s="410"/>
      <c r="AP9" s="411"/>
      <c r="AQ9" s="411"/>
      <c r="AR9" s="411"/>
      <c r="AS9" s="411"/>
      <c r="AT9" s="412"/>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349"/>
      <c r="C10" s="349"/>
      <c r="D10" s="350"/>
      <c r="E10" s="390"/>
      <c r="F10" s="391"/>
      <c r="G10" s="391"/>
      <c r="H10" s="391"/>
      <c r="I10" s="392"/>
      <c r="J10" s="38" t="str">
        <f>IF(AND('Mapa final'!$Y$34="Muy Alta",'Mapa final'!$AA$34="Leve"),CONCATENATE("R5C",'Mapa final'!$O$34),"")</f>
        <v/>
      </c>
      <c r="K10" s="39" t="str">
        <f>IF(AND('Mapa final'!$Y$35="Muy Alta",'Mapa final'!$AA$35="Leve"),CONCATENATE("R5C",'Mapa final'!$O$35),"")</f>
        <v/>
      </c>
      <c r="L10" s="39" t="str">
        <f>IF(AND('Mapa final'!$Y$36="Muy Alta",'Mapa final'!$AA$36="Leve"),CONCATENATE("R5C",'Mapa final'!$O$36),"")</f>
        <v/>
      </c>
      <c r="M10" s="39" t="str">
        <f>IF(AND('Mapa final'!$Y$37="Muy Alta",'Mapa final'!$AA$37="Leve"),CONCATENATE("R5C",'Mapa final'!$O$37),"")</f>
        <v/>
      </c>
      <c r="N10" s="39" t="str">
        <f>IF(AND('Mapa final'!$Y$38="Muy Alta",'Mapa final'!$AA$38="Leve"),CONCATENATE("R5C",'Mapa final'!$O$38),"")</f>
        <v/>
      </c>
      <c r="O10" s="40" t="str">
        <f>IF(AND('Mapa final'!$Y$39="Muy Alta",'Mapa final'!$AA$39="Leve"),CONCATENATE("R5C",'Mapa final'!$O$39),"")</f>
        <v/>
      </c>
      <c r="P10" s="38" t="str">
        <f>IF(AND('Mapa final'!$Y$34="Muy Alta",'Mapa final'!$AA$34="Menor"),CONCATENATE("R5C",'Mapa final'!$O$34),"")</f>
        <v/>
      </c>
      <c r="Q10" s="39" t="str">
        <f>IF(AND('Mapa final'!$Y$35="Muy Alta",'Mapa final'!$AA$35="Menor"),CONCATENATE("R5C",'Mapa final'!$O$35),"")</f>
        <v/>
      </c>
      <c r="R10" s="39" t="str">
        <f>IF(AND('Mapa final'!$Y$36="Muy Alta",'Mapa final'!$AA$36="Menor"),CONCATENATE("R5C",'Mapa final'!$O$36),"")</f>
        <v/>
      </c>
      <c r="S10" s="39" t="str">
        <f>IF(AND('Mapa final'!$Y$37="Muy Alta",'Mapa final'!$AA$37="Menor"),CONCATENATE("R5C",'Mapa final'!$O$37),"")</f>
        <v/>
      </c>
      <c r="T10" s="39" t="str">
        <f>IF(AND('Mapa final'!$Y$38="Muy Alta",'Mapa final'!$AA$38="Menor"),CONCATENATE("R5C",'Mapa final'!$O$38),"")</f>
        <v/>
      </c>
      <c r="U10" s="40" t="str">
        <f>IF(AND('Mapa final'!$Y$39="Muy Alta",'Mapa final'!$AA$39="Menor"),CONCATENATE("R5C",'Mapa final'!$O$39),"")</f>
        <v/>
      </c>
      <c r="V10" s="38" t="str">
        <f>IF(AND('Mapa final'!$Y$34="Muy Alta",'Mapa final'!$AA$34="Moderado"),CONCATENATE("R5C",'Mapa final'!$O$34),"")</f>
        <v/>
      </c>
      <c r="W10" s="39" t="str">
        <f>IF(AND('Mapa final'!$Y$35="Muy Alta",'Mapa final'!$AA$35="Moderado"),CONCATENATE("R5C",'Mapa final'!$O$35),"")</f>
        <v/>
      </c>
      <c r="X10" s="39" t="str">
        <f>IF(AND('Mapa final'!$Y$36="Muy Alta",'Mapa final'!$AA$36="Moderado"),CONCATENATE("R5C",'Mapa final'!$O$36),"")</f>
        <v/>
      </c>
      <c r="Y10" s="39" t="str">
        <f>IF(AND('Mapa final'!$Y$37="Muy Alta",'Mapa final'!$AA$37="Moderado"),CONCATENATE("R5C",'Mapa final'!$O$37),"")</f>
        <v/>
      </c>
      <c r="Z10" s="39" t="str">
        <f>IF(AND('Mapa final'!$Y$38="Muy Alta",'Mapa final'!$AA$38="Moderado"),CONCATENATE("R5C",'Mapa final'!$O$38),"")</f>
        <v/>
      </c>
      <c r="AA10" s="40" t="str">
        <f>IF(AND('Mapa final'!$Y$39="Muy Alta",'Mapa final'!$AA$39="Moderado"),CONCATENATE("R5C",'Mapa final'!$O$39),"")</f>
        <v/>
      </c>
      <c r="AB10" s="38" t="str">
        <f>IF(AND('Mapa final'!$Y$34="Muy Alta",'Mapa final'!$AA$34="Mayor"),CONCATENATE("R5C",'Mapa final'!$O$34),"")</f>
        <v/>
      </c>
      <c r="AC10" s="39" t="str">
        <f>IF(AND('Mapa final'!$Y$35="Muy Alta",'Mapa final'!$AA$35="Mayor"),CONCATENATE("R5C",'Mapa final'!$O$35),"")</f>
        <v/>
      </c>
      <c r="AD10" s="39" t="str">
        <f>IF(AND('Mapa final'!$Y$36="Muy Alta",'Mapa final'!$AA$36="Mayor"),CONCATENATE("R5C",'Mapa final'!$O$36),"")</f>
        <v/>
      </c>
      <c r="AE10" s="39" t="str">
        <f>IF(AND('Mapa final'!$Y$37="Muy Alta",'Mapa final'!$AA$37="Mayor"),CONCATENATE("R5C",'Mapa final'!$O$37),"")</f>
        <v/>
      </c>
      <c r="AF10" s="39" t="str">
        <f>IF(AND('Mapa final'!$Y$38="Muy Alta",'Mapa final'!$AA$38="Mayor"),CONCATENATE("R5C",'Mapa final'!$O$38),"")</f>
        <v/>
      </c>
      <c r="AG10" s="40" t="str">
        <f>IF(AND('Mapa final'!$Y$39="Muy Alta",'Mapa final'!$AA$39="Mayor"),CONCATENATE("R5C",'Mapa final'!$O$39),"")</f>
        <v/>
      </c>
      <c r="AH10" s="41" t="str">
        <f>IF(AND('Mapa final'!$Y$34="Muy Alta",'Mapa final'!$AA$34="Catastrófico"),CONCATENATE("R5C",'Mapa final'!$O$34),"")</f>
        <v/>
      </c>
      <c r="AI10" s="42" t="str">
        <f>IF(AND('Mapa final'!$Y$35="Muy Alta",'Mapa final'!$AA$35="Catastrófico"),CONCATENATE("R5C",'Mapa final'!$O$35),"")</f>
        <v/>
      </c>
      <c r="AJ10" s="42" t="str">
        <f>IF(AND('Mapa final'!$Y$36="Muy Alta",'Mapa final'!$AA$36="Catastrófico"),CONCATENATE("R5C",'Mapa final'!$O$36),"")</f>
        <v/>
      </c>
      <c r="AK10" s="42" t="str">
        <f>IF(AND('Mapa final'!$Y$37="Muy Alta",'Mapa final'!$AA$37="Catastrófico"),CONCATENATE("R5C",'Mapa final'!$O$37),"")</f>
        <v/>
      </c>
      <c r="AL10" s="42" t="str">
        <f>IF(AND('Mapa final'!$Y$38="Muy Alta",'Mapa final'!$AA$38="Catastrófico"),CONCATENATE("R5C",'Mapa final'!$O$38),"")</f>
        <v/>
      </c>
      <c r="AM10" s="43" t="str">
        <f>IF(AND('Mapa final'!$Y$39="Muy Alta",'Mapa final'!$AA$39="Catastrófico"),CONCATENATE("R5C",'Mapa final'!$O$39),"")</f>
        <v/>
      </c>
      <c r="AN10" s="69"/>
      <c r="AO10" s="410"/>
      <c r="AP10" s="411"/>
      <c r="AQ10" s="411"/>
      <c r="AR10" s="411"/>
      <c r="AS10" s="411"/>
      <c r="AT10" s="412"/>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349"/>
      <c r="C11" s="349"/>
      <c r="D11" s="350"/>
      <c r="E11" s="390"/>
      <c r="F11" s="391"/>
      <c r="G11" s="391"/>
      <c r="H11" s="391"/>
      <c r="I11" s="392"/>
      <c r="J11" s="38" t="str">
        <f>IF(AND('Mapa final'!$Y$40="Muy Alta",'Mapa final'!$AA$40="Leve"),CONCATENATE("R6C",'Mapa final'!$O$40),"")</f>
        <v/>
      </c>
      <c r="K11" s="39" t="str">
        <f>IF(AND('Mapa final'!$Y$41="Muy Alta",'Mapa final'!$AA$41="Leve"),CONCATENATE("R6C",'Mapa final'!$O$41),"")</f>
        <v/>
      </c>
      <c r="L11" s="39" t="str">
        <f>IF(AND('Mapa final'!$Y$42="Muy Alta",'Mapa final'!$AA$42="Leve"),CONCATENATE("R6C",'Mapa final'!$O$42),"")</f>
        <v/>
      </c>
      <c r="M11" s="39" t="str">
        <f>IF(AND('Mapa final'!$Y$43="Muy Alta",'Mapa final'!$AA$43="Leve"),CONCATENATE("R6C",'Mapa final'!$O$43),"")</f>
        <v/>
      </c>
      <c r="N11" s="39" t="str">
        <f>IF(AND('Mapa final'!$Y$44="Muy Alta",'Mapa final'!$AA$44="Leve"),CONCATENATE("R6C",'Mapa final'!$O$44),"")</f>
        <v/>
      </c>
      <c r="O11" s="40" t="str">
        <f>IF(AND('Mapa final'!$Y$45="Muy Alta",'Mapa final'!$AA$45="Leve"),CONCATENATE("R6C",'Mapa final'!$O$45),"")</f>
        <v/>
      </c>
      <c r="P11" s="38" t="str">
        <f>IF(AND('Mapa final'!$Y$40="Muy Alta",'Mapa final'!$AA$40="Menor"),CONCATENATE("R6C",'Mapa final'!$O$40),"")</f>
        <v/>
      </c>
      <c r="Q11" s="39" t="str">
        <f>IF(AND('Mapa final'!$Y$41="Muy Alta",'Mapa final'!$AA$41="Menor"),CONCATENATE("R6C",'Mapa final'!$O$41),"")</f>
        <v/>
      </c>
      <c r="R11" s="39" t="str">
        <f>IF(AND('Mapa final'!$Y$42="Muy Alta",'Mapa final'!$AA$42="Menor"),CONCATENATE("R6C",'Mapa final'!$O$42),"")</f>
        <v/>
      </c>
      <c r="S11" s="39" t="str">
        <f>IF(AND('Mapa final'!$Y$43="Muy Alta",'Mapa final'!$AA$43="Menor"),CONCATENATE("R6C",'Mapa final'!$O$43),"")</f>
        <v/>
      </c>
      <c r="T11" s="39" t="str">
        <f>IF(AND('Mapa final'!$Y$44="Muy Alta",'Mapa final'!$AA$44="Menor"),CONCATENATE("R6C",'Mapa final'!$O$44),"")</f>
        <v/>
      </c>
      <c r="U11" s="40" t="str">
        <f>IF(AND('Mapa final'!$Y$45="Muy Alta",'Mapa final'!$AA$45="Menor"),CONCATENATE("R6C",'Mapa final'!$O$45),"")</f>
        <v/>
      </c>
      <c r="V11" s="38" t="str">
        <f>IF(AND('Mapa final'!$Y$40="Muy Alta",'Mapa final'!$AA$40="Moderado"),CONCATENATE("R6C",'Mapa final'!$O$40),"")</f>
        <v/>
      </c>
      <c r="W11" s="39" t="str">
        <f>IF(AND('Mapa final'!$Y$41="Muy Alta",'Mapa final'!$AA$41="Moderado"),CONCATENATE("R6C",'Mapa final'!$O$41),"")</f>
        <v/>
      </c>
      <c r="X11" s="39" t="str">
        <f>IF(AND('Mapa final'!$Y$42="Muy Alta",'Mapa final'!$AA$42="Moderado"),CONCATENATE("R6C",'Mapa final'!$O$42),"")</f>
        <v/>
      </c>
      <c r="Y11" s="39" t="str">
        <f>IF(AND('Mapa final'!$Y$43="Muy Alta",'Mapa final'!$AA$43="Moderado"),CONCATENATE("R6C",'Mapa final'!$O$43),"")</f>
        <v/>
      </c>
      <c r="Z11" s="39" t="str">
        <f>IF(AND('Mapa final'!$Y$44="Muy Alta",'Mapa final'!$AA$44="Moderado"),CONCATENATE("R6C",'Mapa final'!$O$44),"")</f>
        <v/>
      </c>
      <c r="AA11" s="40" t="str">
        <f>IF(AND('Mapa final'!$Y$45="Muy Alta",'Mapa final'!$AA$45="Moderado"),CONCATENATE("R6C",'Mapa final'!$O$45),"")</f>
        <v/>
      </c>
      <c r="AB11" s="38" t="str">
        <f>IF(AND('Mapa final'!$Y$40="Muy Alta",'Mapa final'!$AA$40="Mayor"),CONCATENATE("R6C",'Mapa final'!$O$40),"")</f>
        <v/>
      </c>
      <c r="AC11" s="39" t="str">
        <f>IF(AND('Mapa final'!$Y$41="Muy Alta",'Mapa final'!$AA$41="Mayor"),CONCATENATE("R6C",'Mapa final'!$O$41),"")</f>
        <v/>
      </c>
      <c r="AD11" s="39" t="str">
        <f>IF(AND('Mapa final'!$Y$42="Muy Alta",'Mapa final'!$AA$42="Mayor"),CONCATENATE("R6C",'Mapa final'!$O$42),"")</f>
        <v/>
      </c>
      <c r="AE11" s="39" t="str">
        <f>IF(AND('Mapa final'!$Y$43="Muy Alta",'Mapa final'!$AA$43="Mayor"),CONCATENATE("R6C",'Mapa final'!$O$43),"")</f>
        <v/>
      </c>
      <c r="AF11" s="39" t="str">
        <f>IF(AND('Mapa final'!$Y$44="Muy Alta",'Mapa final'!$AA$44="Mayor"),CONCATENATE("R6C",'Mapa final'!$O$44),"")</f>
        <v/>
      </c>
      <c r="AG11" s="40" t="str">
        <f>IF(AND('Mapa final'!$Y$45="Muy Alta",'Mapa final'!$AA$45="Mayor"),CONCATENATE("R6C",'Mapa final'!$O$45),"")</f>
        <v/>
      </c>
      <c r="AH11" s="41" t="str">
        <f>IF(AND('Mapa final'!$Y$40="Muy Alta",'Mapa final'!$AA$40="Catastrófico"),CONCATENATE("R6C",'Mapa final'!$O$40),"")</f>
        <v/>
      </c>
      <c r="AI11" s="42" t="str">
        <f>IF(AND('Mapa final'!$Y$41="Muy Alta",'Mapa final'!$AA$41="Catastrófico"),CONCATENATE("R6C",'Mapa final'!$O$41),"")</f>
        <v/>
      </c>
      <c r="AJ11" s="42" t="str">
        <f>IF(AND('Mapa final'!$Y$42="Muy Alta",'Mapa final'!$AA$42="Catastrófico"),CONCATENATE("R6C",'Mapa final'!$O$42),"")</f>
        <v/>
      </c>
      <c r="AK11" s="42" t="str">
        <f>IF(AND('Mapa final'!$Y$43="Muy Alta",'Mapa final'!$AA$43="Catastrófico"),CONCATENATE("R6C",'Mapa final'!$O$43),"")</f>
        <v/>
      </c>
      <c r="AL11" s="42" t="str">
        <f>IF(AND('Mapa final'!$Y$44="Muy Alta",'Mapa final'!$AA$44="Catastrófico"),CONCATENATE("R6C",'Mapa final'!$O$44),"")</f>
        <v/>
      </c>
      <c r="AM11" s="43" t="str">
        <f>IF(AND('Mapa final'!$Y$45="Muy Alta",'Mapa final'!$AA$45="Catastrófico"),CONCATENATE("R6C",'Mapa final'!$O$45),"")</f>
        <v/>
      </c>
      <c r="AN11" s="69"/>
      <c r="AO11" s="410"/>
      <c r="AP11" s="411"/>
      <c r="AQ11" s="411"/>
      <c r="AR11" s="411"/>
      <c r="AS11" s="411"/>
      <c r="AT11" s="412"/>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349"/>
      <c r="C12" s="349"/>
      <c r="D12" s="350"/>
      <c r="E12" s="390"/>
      <c r="F12" s="391"/>
      <c r="G12" s="391"/>
      <c r="H12" s="391"/>
      <c r="I12" s="392"/>
      <c r="J12" s="38" t="str">
        <f>IF(AND('Mapa final'!$Y$46="Muy Alta",'Mapa final'!$AA$46="Leve"),CONCATENATE("R7C",'Mapa final'!$O$46),"")</f>
        <v/>
      </c>
      <c r="K12" s="39" t="str">
        <f>IF(AND('Mapa final'!$Y$47="Muy Alta",'Mapa final'!$AA$47="Leve"),CONCATENATE("R7C",'Mapa final'!$O$47),"")</f>
        <v/>
      </c>
      <c r="L12" s="39" t="str">
        <f>IF(AND('Mapa final'!$Y$48="Muy Alta",'Mapa final'!$AA$48="Leve"),CONCATENATE("R7C",'Mapa final'!$O$48),"")</f>
        <v/>
      </c>
      <c r="M12" s="39" t="str">
        <f>IF(AND('Mapa final'!$Y$49="Muy Alta",'Mapa final'!$AA$49="Leve"),CONCATENATE("R7C",'Mapa final'!$O$49),"")</f>
        <v/>
      </c>
      <c r="N12" s="39" t="str">
        <f>IF(AND('Mapa final'!$Y$50="Muy Alta",'Mapa final'!$AA$50="Leve"),CONCATENATE("R7C",'Mapa final'!$O$50),"")</f>
        <v/>
      </c>
      <c r="O12" s="40" t="str">
        <f>IF(AND('Mapa final'!$Y$51="Muy Alta",'Mapa final'!$AA$51="Leve"),CONCATENATE("R7C",'Mapa final'!$O$51),"")</f>
        <v/>
      </c>
      <c r="P12" s="38" t="str">
        <f>IF(AND('Mapa final'!$Y$46="Muy Alta",'Mapa final'!$AA$46="Menor"),CONCATENATE("R7C",'Mapa final'!$O$46),"")</f>
        <v/>
      </c>
      <c r="Q12" s="39" t="str">
        <f>IF(AND('Mapa final'!$Y$47="Muy Alta",'Mapa final'!$AA$47="Menor"),CONCATENATE("R7C",'Mapa final'!$O$47),"")</f>
        <v/>
      </c>
      <c r="R12" s="39" t="str">
        <f>IF(AND('Mapa final'!$Y$48="Muy Alta",'Mapa final'!$AA$48="Menor"),CONCATENATE("R7C",'Mapa final'!$O$48),"")</f>
        <v/>
      </c>
      <c r="S12" s="39" t="str">
        <f>IF(AND('Mapa final'!$Y$49="Muy Alta",'Mapa final'!$AA$49="Menor"),CONCATENATE("R7C",'Mapa final'!$O$49),"")</f>
        <v/>
      </c>
      <c r="T12" s="39" t="str">
        <f>IF(AND('Mapa final'!$Y$50="Muy Alta",'Mapa final'!$AA$50="Menor"),CONCATENATE("R7C",'Mapa final'!$O$50),"")</f>
        <v/>
      </c>
      <c r="U12" s="40" t="str">
        <f>IF(AND('Mapa final'!$Y$51="Muy Alta",'Mapa final'!$AA$51="Menor"),CONCATENATE("R7C",'Mapa final'!$O$51),"")</f>
        <v/>
      </c>
      <c r="V12" s="38" t="str">
        <f>IF(AND('Mapa final'!$Y$46="Muy Alta",'Mapa final'!$AA$46="Moderado"),CONCATENATE("R7C",'Mapa final'!$O$46),"")</f>
        <v/>
      </c>
      <c r="W12" s="39" t="str">
        <f>IF(AND('Mapa final'!$Y$47="Muy Alta",'Mapa final'!$AA$47="Moderado"),CONCATENATE("R7C",'Mapa final'!$O$47),"")</f>
        <v/>
      </c>
      <c r="X12" s="39" t="str">
        <f>IF(AND('Mapa final'!$Y$48="Muy Alta",'Mapa final'!$AA$48="Moderado"),CONCATENATE("R7C",'Mapa final'!$O$48),"")</f>
        <v/>
      </c>
      <c r="Y12" s="39" t="str">
        <f>IF(AND('Mapa final'!$Y$49="Muy Alta",'Mapa final'!$AA$49="Moderado"),CONCATENATE("R7C",'Mapa final'!$O$49),"")</f>
        <v/>
      </c>
      <c r="Z12" s="39" t="str">
        <f>IF(AND('Mapa final'!$Y$50="Muy Alta",'Mapa final'!$AA$50="Moderado"),CONCATENATE("R7C",'Mapa final'!$O$50),"")</f>
        <v/>
      </c>
      <c r="AA12" s="40" t="str">
        <f>IF(AND('Mapa final'!$Y$51="Muy Alta",'Mapa final'!$AA$51="Moderado"),CONCATENATE("R7C",'Mapa final'!$O$51),"")</f>
        <v/>
      </c>
      <c r="AB12" s="38" t="str">
        <f>IF(AND('Mapa final'!$Y$46="Muy Alta",'Mapa final'!$AA$46="Mayor"),CONCATENATE("R7C",'Mapa final'!$O$46),"")</f>
        <v/>
      </c>
      <c r="AC12" s="39" t="str">
        <f>IF(AND('Mapa final'!$Y$47="Muy Alta",'Mapa final'!$AA$47="Mayor"),CONCATENATE("R7C",'Mapa final'!$O$47),"")</f>
        <v/>
      </c>
      <c r="AD12" s="39" t="str">
        <f>IF(AND('Mapa final'!$Y$48="Muy Alta",'Mapa final'!$AA$48="Mayor"),CONCATENATE("R7C",'Mapa final'!$O$48),"")</f>
        <v/>
      </c>
      <c r="AE12" s="39" t="str">
        <f>IF(AND('Mapa final'!$Y$49="Muy Alta",'Mapa final'!$AA$49="Mayor"),CONCATENATE("R7C",'Mapa final'!$O$49),"")</f>
        <v/>
      </c>
      <c r="AF12" s="39" t="str">
        <f>IF(AND('Mapa final'!$Y$50="Muy Alta",'Mapa final'!$AA$50="Mayor"),CONCATENATE("R7C",'Mapa final'!$O$50),"")</f>
        <v/>
      </c>
      <c r="AG12" s="40" t="str">
        <f>IF(AND('Mapa final'!$Y$51="Muy Alta",'Mapa final'!$AA$51="Mayor"),CONCATENATE("R7C",'Mapa final'!$O$51),"")</f>
        <v/>
      </c>
      <c r="AH12" s="41" t="str">
        <f>IF(AND('Mapa final'!$Y$46="Muy Alta",'Mapa final'!$AA$46="Catastrófico"),CONCATENATE("R7C",'Mapa final'!$O$46),"")</f>
        <v/>
      </c>
      <c r="AI12" s="42" t="str">
        <f>IF(AND('Mapa final'!$Y$47="Muy Alta",'Mapa final'!$AA$47="Catastrófico"),CONCATENATE("R7C",'Mapa final'!$O$47),"")</f>
        <v/>
      </c>
      <c r="AJ12" s="42" t="str">
        <f>IF(AND('Mapa final'!$Y$48="Muy Alta",'Mapa final'!$AA$48="Catastrófico"),CONCATENATE("R7C",'Mapa final'!$O$48),"")</f>
        <v/>
      </c>
      <c r="AK12" s="42" t="str">
        <f>IF(AND('Mapa final'!$Y$49="Muy Alta",'Mapa final'!$AA$49="Catastrófico"),CONCATENATE("R7C",'Mapa final'!$O$49),"")</f>
        <v/>
      </c>
      <c r="AL12" s="42" t="str">
        <f>IF(AND('Mapa final'!$Y$50="Muy Alta",'Mapa final'!$AA$50="Catastrófico"),CONCATENATE("R7C",'Mapa final'!$O$50),"")</f>
        <v/>
      </c>
      <c r="AM12" s="43" t="str">
        <f>IF(AND('Mapa final'!$Y$51="Muy Alta",'Mapa final'!$AA$51="Catastrófico"),CONCATENATE("R7C",'Mapa final'!$O$51),"")</f>
        <v/>
      </c>
      <c r="AN12" s="69"/>
      <c r="AO12" s="410"/>
      <c r="AP12" s="411"/>
      <c r="AQ12" s="411"/>
      <c r="AR12" s="411"/>
      <c r="AS12" s="411"/>
      <c r="AT12" s="412"/>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349"/>
      <c r="C13" s="349"/>
      <c r="D13" s="350"/>
      <c r="E13" s="390"/>
      <c r="F13" s="391"/>
      <c r="G13" s="391"/>
      <c r="H13" s="391"/>
      <c r="I13" s="392"/>
      <c r="J13" s="38" t="str">
        <f>IF(AND('Mapa final'!$Y$52="Muy Alta",'Mapa final'!$AA$52="Leve"),CONCATENATE("R8C",'Mapa final'!$O$52),"")</f>
        <v/>
      </c>
      <c r="K13" s="39" t="str">
        <f>IF(AND('Mapa final'!$Y$53="Muy Alta",'Mapa final'!$AA$53="Leve"),CONCATENATE("R8C",'Mapa final'!$O$53),"")</f>
        <v/>
      </c>
      <c r="L13" s="39" t="str">
        <f>IF(AND('Mapa final'!$Y$54="Muy Alta",'Mapa final'!$AA$54="Leve"),CONCATENATE("R8C",'Mapa final'!$O$54),"")</f>
        <v/>
      </c>
      <c r="M13" s="39" t="str">
        <f>IF(AND('Mapa final'!$Y$55="Muy Alta",'Mapa final'!$AA$55="Leve"),CONCATENATE("R8C",'Mapa final'!$O$55),"")</f>
        <v/>
      </c>
      <c r="N13" s="39" t="str">
        <f>IF(AND('Mapa final'!$Y$56="Muy Alta",'Mapa final'!$AA$56="Leve"),CONCATENATE("R8C",'Mapa final'!$O$56),"")</f>
        <v/>
      </c>
      <c r="O13" s="40" t="str">
        <f>IF(AND('Mapa final'!$Y$57="Muy Alta",'Mapa final'!$AA$57="Leve"),CONCATENATE("R8C",'Mapa final'!$O$57),"")</f>
        <v/>
      </c>
      <c r="P13" s="38" t="str">
        <f>IF(AND('Mapa final'!$Y$52="Muy Alta",'Mapa final'!$AA$52="Menor"),CONCATENATE("R8C",'Mapa final'!$O$52),"")</f>
        <v/>
      </c>
      <c r="Q13" s="39" t="str">
        <f>IF(AND('Mapa final'!$Y$53="Muy Alta",'Mapa final'!$AA$53="Menor"),CONCATENATE("R8C",'Mapa final'!$O$53),"")</f>
        <v/>
      </c>
      <c r="R13" s="39" t="str">
        <f>IF(AND('Mapa final'!$Y$54="Muy Alta",'Mapa final'!$AA$54="Menor"),CONCATENATE("R8C",'Mapa final'!$O$54),"")</f>
        <v/>
      </c>
      <c r="S13" s="39" t="str">
        <f>IF(AND('Mapa final'!$Y$55="Muy Alta",'Mapa final'!$AA$55="Menor"),CONCATENATE("R8C",'Mapa final'!$O$55),"")</f>
        <v/>
      </c>
      <c r="T13" s="39" t="str">
        <f>IF(AND('Mapa final'!$Y$56="Muy Alta",'Mapa final'!$AA$56="Menor"),CONCATENATE("R8C",'Mapa final'!$O$56),"")</f>
        <v/>
      </c>
      <c r="U13" s="40" t="str">
        <f>IF(AND('Mapa final'!$Y$57="Muy Alta",'Mapa final'!$AA$57="Menor"),CONCATENATE("R8C",'Mapa final'!$O$57),"")</f>
        <v/>
      </c>
      <c r="V13" s="38" t="str">
        <f>IF(AND('Mapa final'!$Y$52="Muy Alta",'Mapa final'!$AA$52="Moderado"),CONCATENATE("R8C",'Mapa final'!$O$52),"")</f>
        <v/>
      </c>
      <c r="W13" s="39" t="str">
        <f>IF(AND('Mapa final'!$Y$53="Muy Alta",'Mapa final'!$AA$53="Moderado"),CONCATENATE("R8C",'Mapa final'!$O$53),"")</f>
        <v/>
      </c>
      <c r="X13" s="39" t="str">
        <f>IF(AND('Mapa final'!$Y$54="Muy Alta",'Mapa final'!$AA$54="Moderado"),CONCATENATE("R8C",'Mapa final'!$O$54),"")</f>
        <v/>
      </c>
      <c r="Y13" s="39" t="str">
        <f>IF(AND('Mapa final'!$Y$55="Muy Alta",'Mapa final'!$AA$55="Moderado"),CONCATENATE("R8C",'Mapa final'!$O$55),"")</f>
        <v/>
      </c>
      <c r="Z13" s="39" t="str">
        <f>IF(AND('Mapa final'!$Y$56="Muy Alta",'Mapa final'!$AA$56="Moderado"),CONCATENATE("R8C",'Mapa final'!$O$56),"")</f>
        <v/>
      </c>
      <c r="AA13" s="40" t="str">
        <f>IF(AND('Mapa final'!$Y$57="Muy Alta",'Mapa final'!$AA$57="Moderado"),CONCATENATE("R8C",'Mapa final'!$O$57),"")</f>
        <v/>
      </c>
      <c r="AB13" s="38" t="str">
        <f>IF(AND('Mapa final'!$Y$52="Muy Alta",'Mapa final'!$AA$52="Mayor"),CONCATENATE("R8C",'Mapa final'!$O$52),"")</f>
        <v/>
      </c>
      <c r="AC13" s="39" t="str">
        <f>IF(AND('Mapa final'!$Y$53="Muy Alta",'Mapa final'!$AA$53="Mayor"),CONCATENATE("R8C",'Mapa final'!$O$53),"")</f>
        <v/>
      </c>
      <c r="AD13" s="39" t="str">
        <f>IF(AND('Mapa final'!$Y$54="Muy Alta",'Mapa final'!$AA$54="Mayor"),CONCATENATE("R8C",'Mapa final'!$O$54),"")</f>
        <v/>
      </c>
      <c r="AE13" s="39" t="str">
        <f>IF(AND('Mapa final'!$Y$55="Muy Alta",'Mapa final'!$AA$55="Mayor"),CONCATENATE("R8C",'Mapa final'!$O$55),"")</f>
        <v/>
      </c>
      <c r="AF13" s="39" t="str">
        <f>IF(AND('Mapa final'!$Y$56="Muy Alta",'Mapa final'!$AA$56="Mayor"),CONCATENATE("R8C",'Mapa final'!$O$56),"")</f>
        <v/>
      </c>
      <c r="AG13" s="40" t="str">
        <f>IF(AND('Mapa final'!$Y$57="Muy Alta",'Mapa final'!$AA$57="Mayor"),CONCATENATE("R8C",'Mapa final'!$O$57),"")</f>
        <v/>
      </c>
      <c r="AH13" s="41" t="str">
        <f>IF(AND('Mapa final'!$Y$52="Muy Alta",'Mapa final'!$AA$52="Catastrófico"),CONCATENATE("R8C",'Mapa final'!$O$52),"")</f>
        <v/>
      </c>
      <c r="AI13" s="42" t="str">
        <f>IF(AND('Mapa final'!$Y$53="Muy Alta",'Mapa final'!$AA$53="Catastrófico"),CONCATENATE("R8C",'Mapa final'!$O$53),"")</f>
        <v/>
      </c>
      <c r="AJ13" s="42" t="str">
        <f>IF(AND('Mapa final'!$Y$54="Muy Alta",'Mapa final'!$AA$54="Catastrófico"),CONCATENATE("R8C",'Mapa final'!$O$54),"")</f>
        <v/>
      </c>
      <c r="AK13" s="42" t="str">
        <f>IF(AND('Mapa final'!$Y$55="Muy Alta",'Mapa final'!$AA$55="Catastrófico"),CONCATENATE("R8C",'Mapa final'!$O$55),"")</f>
        <v/>
      </c>
      <c r="AL13" s="42" t="str">
        <f>IF(AND('Mapa final'!$Y$56="Muy Alta",'Mapa final'!$AA$56="Catastrófico"),CONCATENATE("R8C",'Mapa final'!$O$56),"")</f>
        <v/>
      </c>
      <c r="AM13" s="43" t="str">
        <f>IF(AND('Mapa final'!$Y$57="Muy Alta",'Mapa final'!$AA$57="Catastrófico"),CONCATENATE("R8C",'Mapa final'!$O$57),"")</f>
        <v/>
      </c>
      <c r="AN13" s="69"/>
      <c r="AO13" s="410"/>
      <c r="AP13" s="411"/>
      <c r="AQ13" s="411"/>
      <c r="AR13" s="411"/>
      <c r="AS13" s="411"/>
      <c r="AT13" s="412"/>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349"/>
      <c r="C14" s="349"/>
      <c r="D14" s="350"/>
      <c r="E14" s="390"/>
      <c r="F14" s="391"/>
      <c r="G14" s="391"/>
      <c r="H14" s="391"/>
      <c r="I14" s="392"/>
      <c r="J14" s="38" t="str">
        <f>IF(AND('Mapa final'!$Y$58="Muy Alta",'Mapa final'!$AA$58="Leve"),CONCATENATE("R9C",'Mapa final'!$O$58),"")</f>
        <v/>
      </c>
      <c r="K14" s="39" t="str">
        <f>IF(AND('Mapa final'!$Y$59="Muy Alta",'Mapa final'!$AA$59="Leve"),CONCATENATE("R9C",'Mapa final'!$O$59),"")</f>
        <v/>
      </c>
      <c r="L14" s="39" t="str">
        <f>IF(AND('Mapa final'!$Y$60="Muy Alta",'Mapa final'!$AA$60="Leve"),CONCATENATE("R9C",'Mapa final'!$O$60),"")</f>
        <v/>
      </c>
      <c r="M14" s="39" t="str">
        <f>IF(AND('Mapa final'!$Y$61="Muy Alta",'Mapa final'!$AA$61="Leve"),CONCATENATE("R9C",'Mapa final'!$O$61),"")</f>
        <v/>
      </c>
      <c r="N14" s="39" t="str">
        <f>IF(AND('Mapa final'!$Y$62="Muy Alta",'Mapa final'!$AA$62="Leve"),CONCATENATE("R9C",'Mapa final'!$O$62),"")</f>
        <v/>
      </c>
      <c r="O14" s="40" t="str">
        <f>IF(AND('Mapa final'!$Y$63="Muy Alta",'Mapa final'!$AA$63="Leve"),CONCATENATE("R9C",'Mapa final'!$O$63),"")</f>
        <v/>
      </c>
      <c r="P14" s="38" t="str">
        <f>IF(AND('Mapa final'!$Y$58="Muy Alta",'Mapa final'!$AA$58="Menor"),CONCATENATE("R9C",'Mapa final'!$O$58),"")</f>
        <v/>
      </c>
      <c r="Q14" s="39" t="str">
        <f>IF(AND('Mapa final'!$Y$59="Muy Alta",'Mapa final'!$AA$59="Menor"),CONCATENATE("R9C",'Mapa final'!$O$59),"")</f>
        <v/>
      </c>
      <c r="R14" s="39" t="str">
        <f>IF(AND('Mapa final'!$Y$60="Muy Alta",'Mapa final'!$AA$60="Menor"),CONCATENATE("R9C",'Mapa final'!$O$60),"")</f>
        <v/>
      </c>
      <c r="S14" s="39" t="str">
        <f>IF(AND('Mapa final'!$Y$61="Muy Alta",'Mapa final'!$AA$61="Menor"),CONCATENATE("R9C",'Mapa final'!$O$61),"")</f>
        <v/>
      </c>
      <c r="T14" s="39" t="str">
        <f>IF(AND('Mapa final'!$Y$62="Muy Alta",'Mapa final'!$AA$62="Menor"),CONCATENATE("R9C",'Mapa final'!$O$62),"")</f>
        <v/>
      </c>
      <c r="U14" s="40" t="str">
        <f>IF(AND('Mapa final'!$Y$63="Muy Alta",'Mapa final'!$AA$63="Menor"),CONCATENATE("R9C",'Mapa final'!$O$63),"")</f>
        <v/>
      </c>
      <c r="V14" s="38" t="str">
        <f>IF(AND('Mapa final'!$Y$58="Muy Alta",'Mapa final'!$AA$58="Moderado"),CONCATENATE("R9C",'Mapa final'!$O$58),"")</f>
        <v/>
      </c>
      <c r="W14" s="39" t="str">
        <f>IF(AND('Mapa final'!$Y$59="Muy Alta",'Mapa final'!$AA$59="Moderado"),CONCATENATE("R9C",'Mapa final'!$O$59),"")</f>
        <v/>
      </c>
      <c r="X14" s="39" t="str">
        <f>IF(AND('Mapa final'!$Y$60="Muy Alta",'Mapa final'!$AA$60="Moderado"),CONCATENATE("R9C",'Mapa final'!$O$60),"")</f>
        <v/>
      </c>
      <c r="Y14" s="39" t="str">
        <f>IF(AND('Mapa final'!$Y$61="Muy Alta",'Mapa final'!$AA$61="Moderado"),CONCATENATE("R9C",'Mapa final'!$O$61),"")</f>
        <v/>
      </c>
      <c r="Z14" s="39" t="str">
        <f>IF(AND('Mapa final'!$Y$62="Muy Alta",'Mapa final'!$AA$62="Moderado"),CONCATENATE("R9C",'Mapa final'!$O$62),"")</f>
        <v/>
      </c>
      <c r="AA14" s="40" t="str">
        <f>IF(AND('Mapa final'!$Y$63="Muy Alta",'Mapa final'!$AA$63="Moderado"),CONCATENATE("R9C",'Mapa final'!$O$63),"")</f>
        <v/>
      </c>
      <c r="AB14" s="38" t="str">
        <f>IF(AND('Mapa final'!$Y$58="Muy Alta",'Mapa final'!$AA$58="Mayor"),CONCATENATE("R9C",'Mapa final'!$O$58),"")</f>
        <v/>
      </c>
      <c r="AC14" s="39" t="str">
        <f>IF(AND('Mapa final'!$Y$59="Muy Alta",'Mapa final'!$AA$59="Mayor"),CONCATENATE("R9C",'Mapa final'!$O$59),"")</f>
        <v/>
      </c>
      <c r="AD14" s="39" t="str">
        <f>IF(AND('Mapa final'!$Y$60="Muy Alta",'Mapa final'!$AA$60="Mayor"),CONCATENATE("R9C",'Mapa final'!$O$60),"")</f>
        <v/>
      </c>
      <c r="AE14" s="39" t="str">
        <f>IF(AND('Mapa final'!$Y$61="Muy Alta",'Mapa final'!$AA$61="Mayor"),CONCATENATE("R9C",'Mapa final'!$O$61),"")</f>
        <v/>
      </c>
      <c r="AF14" s="39" t="str">
        <f>IF(AND('Mapa final'!$Y$62="Muy Alta",'Mapa final'!$AA$62="Mayor"),CONCATENATE("R9C",'Mapa final'!$O$62),"")</f>
        <v/>
      </c>
      <c r="AG14" s="40" t="str">
        <f>IF(AND('Mapa final'!$Y$63="Muy Alta",'Mapa final'!$AA$63="Mayor"),CONCATENATE("R9C",'Mapa final'!$O$63),"")</f>
        <v/>
      </c>
      <c r="AH14" s="41" t="str">
        <f>IF(AND('Mapa final'!$Y$58="Muy Alta",'Mapa final'!$AA$58="Catastrófico"),CONCATENATE("R9C",'Mapa final'!$O$58),"")</f>
        <v/>
      </c>
      <c r="AI14" s="42" t="str">
        <f>IF(AND('Mapa final'!$Y$59="Muy Alta",'Mapa final'!$AA$59="Catastrófico"),CONCATENATE("R9C",'Mapa final'!$O$59),"")</f>
        <v/>
      </c>
      <c r="AJ14" s="42" t="str">
        <f>IF(AND('Mapa final'!$Y$60="Muy Alta",'Mapa final'!$AA$60="Catastrófico"),CONCATENATE("R9C",'Mapa final'!$O$60),"")</f>
        <v/>
      </c>
      <c r="AK14" s="42" t="str">
        <f>IF(AND('Mapa final'!$Y$61="Muy Alta",'Mapa final'!$AA$61="Catastrófico"),CONCATENATE("R9C",'Mapa final'!$O$61),"")</f>
        <v/>
      </c>
      <c r="AL14" s="42" t="str">
        <f>IF(AND('Mapa final'!$Y$62="Muy Alta",'Mapa final'!$AA$62="Catastrófico"),CONCATENATE("R9C",'Mapa final'!$O$62),"")</f>
        <v/>
      </c>
      <c r="AM14" s="43" t="str">
        <f>IF(AND('Mapa final'!$Y$63="Muy Alta",'Mapa final'!$AA$63="Catastrófico"),CONCATENATE("R9C",'Mapa final'!$O$63),"")</f>
        <v/>
      </c>
      <c r="AN14" s="69"/>
      <c r="AO14" s="410"/>
      <c r="AP14" s="411"/>
      <c r="AQ14" s="411"/>
      <c r="AR14" s="411"/>
      <c r="AS14" s="411"/>
      <c r="AT14" s="412"/>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349"/>
      <c r="C15" s="349"/>
      <c r="D15" s="350"/>
      <c r="E15" s="393"/>
      <c r="F15" s="394"/>
      <c r="G15" s="394"/>
      <c r="H15" s="394"/>
      <c r="I15" s="395"/>
      <c r="J15" s="44" t="str">
        <f>IF(AND('Mapa final'!$Y$64="Muy Alta",'Mapa final'!$AA$64="Leve"),CONCATENATE("R10C",'Mapa final'!$O$64),"")</f>
        <v/>
      </c>
      <c r="K15" s="45" t="str">
        <f>IF(AND('Mapa final'!$Y$65="Muy Alta",'Mapa final'!$AA$65="Leve"),CONCATENATE("R10C",'Mapa final'!$O$65),"")</f>
        <v/>
      </c>
      <c r="L15" s="45" t="str">
        <f>IF(AND('Mapa final'!$Y$66="Muy Alta",'Mapa final'!$AA$66="Leve"),CONCATENATE("R10C",'Mapa final'!$O$66),"")</f>
        <v/>
      </c>
      <c r="M15" s="45" t="str">
        <f>IF(AND('Mapa final'!$Y$67="Muy Alta",'Mapa final'!$AA$67="Leve"),CONCATENATE("R10C",'Mapa final'!$O$67),"")</f>
        <v/>
      </c>
      <c r="N15" s="45" t="str">
        <f>IF(AND('Mapa final'!$Y$68="Muy Alta",'Mapa final'!$AA$68="Leve"),CONCATENATE("R10C",'Mapa final'!$O$68),"")</f>
        <v/>
      </c>
      <c r="O15" s="46" t="str">
        <f>IF(AND('Mapa final'!$Y$69="Muy Alta",'Mapa final'!$AA$69="Leve"),CONCATENATE("R10C",'Mapa final'!$O$69),"")</f>
        <v/>
      </c>
      <c r="P15" s="38" t="str">
        <f>IF(AND('Mapa final'!$Y$64="Muy Alta",'Mapa final'!$AA$64="Menor"),CONCATENATE("R10C",'Mapa final'!$O$64),"")</f>
        <v/>
      </c>
      <c r="Q15" s="39" t="str">
        <f>IF(AND('Mapa final'!$Y$65="Muy Alta",'Mapa final'!$AA$65="Menor"),CONCATENATE("R10C",'Mapa final'!$O$65),"")</f>
        <v/>
      </c>
      <c r="R15" s="39" t="str">
        <f>IF(AND('Mapa final'!$Y$66="Muy Alta",'Mapa final'!$AA$66="Menor"),CONCATENATE("R10C",'Mapa final'!$O$66),"")</f>
        <v/>
      </c>
      <c r="S15" s="39" t="str">
        <f>IF(AND('Mapa final'!$Y$67="Muy Alta",'Mapa final'!$AA$67="Menor"),CONCATENATE("R10C",'Mapa final'!$O$67),"")</f>
        <v/>
      </c>
      <c r="T15" s="39" t="str">
        <f>IF(AND('Mapa final'!$Y$68="Muy Alta",'Mapa final'!$AA$68="Menor"),CONCATENATE("R10C",'Mapa final'!$O$68),"")</f>
        <v/>
      </c>
      <c r="U15" s="40" t="str">
        <f>IF(AND('Mapa final'!$Y$69="Muy Alta",'Mapa final'!$AA$69="Menor"),CONCATENATE("R10C",'Mapa final'!$O$69),"")</f>
        <v/>
      </c>
      <c r="V15" s="44" t="str">
        <f>IF(AND('Mapa final'!$Y$64="Muy Alta",'Mapa final'!$AA$64="Moderado"),CONCATENATE("R10C",'Mapa final'!$O$64),"")</f>
        <v/>
      </c>
      <c r="W15" s="45" t="str">
        <f>IF(AND('Mapa final'!$Y$65="Muy Alta",'Mapa final'!$AA$65="Moderado"),CONCATENATE("R10C",'Mapa final'!$O$65),"")</f>
        <v/>
      </c>
      <c r="X15" s="45" t="str">
        <f>IF(AND('Mapa final'!$Y$66="Muy Alta",'Mapa final'!$AA$66="Moderado"),CONCATENATE("R10C",'Mapa final'!$O$66),"")</f>
        <v/>
      </c>
      <c r="Y15" s="45" t="str">
        <f>IF(AND('Mapa final'!$Y$67="Muy Alta",'Mapa final'!$AA$67="Moderado"),CONCATENATE("R10C",'Mapa final'!$O$67),"")</f>
        <v/>
      </c>
      <c r="Z15" s="45" t="str">
        <f>IF(AND('Mapa final'!$Y$68="Muy Alta",'Mapa final'!$AA$68="Moderado"),CONCATENATE("R10C",'Mapa final'!$O$68),"")</f>
        <v/>
      </c>
      <c r="AA15" s="46" t="str">
        <f>IF(AND('Mapa final'!$Y$69="Muy Alta",'Mapa final'!$AA$69="Moderado"),CONCATENATE("R10C",'Mapa final'!$O$69),"")</f>
        <v/>
      </c>
      <c r="AB15" s="38" t="str">
        <f>IF(AND('Mapa final'!$Y$64="Muy Alta",'Mapa final'!$AA$64="Mayor"),CONCATENATE("R10C",'Mapa final'!$O$64),"")</f>
        <v/>
      </c>
      <c r="AC15" s="39" t="str">
        <f>IF(AND('Mapa final'!$Y$65="Muy Alta",'Mapa final'!$AA$65="Mayor"),CONCATENATE("R10C",'Mapa final'!$O$65),"")</f>
        <v/>
      </c>
      <c r="AD15" s="39" t="str">
        <f>IF(AND('Mapa final'!$Y$66="Muy Alta",'Mapa final'!$AA$66="Mayor"),CONCATENATE("R10C",'Mapa final'!$O$66),"")</f>
        <v/>
      </c>
      <c r="AE15" s="39" t="str">
        <f>IF(AND('Mapa final'!$Y$67="Muy Alta",'Mapa final'!$AA$67="Mayor"),CONCATENATE("R10C",'Mapa final'!$O$67),"")</f>
        <v/>
      </c>
      <c r="AF15" s="39" t="str">
        <f>IF(AND('Mapa final'!$Y$68="Muy Alta",'Mapa final'!$AA$68="Mayor"),CONCATENATE("R10C",'Mapa final'!$O$68),"")</f>
        <v/>
      </c>
      <c r="AG15" s="40" t="str">
        <f>IF(AND('Mapa final'!$Y$69="Muy Alta",'Mapa final'!$AA$69="Mayor"),CONCATENATE("R10C",'Mapa final'!$O$69),"")</f>
        <v/>
      </c>
      <c r="AH15" s="47" t="str">
        <f>IF(AND('Mapa final'!$Y$64="Muy Alta",'Mapa final'!$AA$64="Catastrófico"),CONCATENATE("R10C",'Mapa final'!$O$64),"")</f>
        <v/>
      </c>
      <c r="AI15" s="48" t="str">
        <f>IF(AND('Mapa final'!$Y$65="Muy Alta",'Mapa final'!$AA$65="Catastrófico"),CONCATENATE("R10C",'Mapa final'!$O$65),"")</f>
        <v/>
      </c>
      <c r="AJ15" s="48" t="str">
        <f>IF(AND('Mapa final'!$Y$66="Muy Alta",'Mapa final'!$AA$66="Catastrófico"),CONCATENATE("R10C",'Mapa final'!$O$66),"")</f>
        <v/>
      </c>
      <c r="AK15" s="48" t="str">
        <f>IF(AND('Mapa final'!$Y$67="Muy Alta",'Mapa final'!$AA$67="Catastrófico"),CONCATENATE("R10C",'Mapa final'!$O$67),"")</f>
        <v/>
      </c>
      <c r="AL15" s="48" t="str">
        <f>IF(AND('Mapa final'!$Y$68="Muy Alta",'Mapa final'!$AA$68="Catastrófico"),CONCATENATE("R10C",'Mapa final'!$O$68),"")</f>
        <v/>
      </c>
      <c r="AM15" s="49" t="str">
        <f>IF(AND('Mapa final'!$Y$69="Muy Alta",'Mapa final'!$AA$69="Catastrófico"),CONCATENATE("R10C",'Mapa final'!$O$69),"")</f>
        <v/>
      </c>
      <c r="AN15" s="69"/>
      <c r="AO15" s="413"/>
      <c r="AP15" s="414"/>
      <c r="AQ15" s="414"/>
      <c r="AR15" s="414"/>
      <c r="AS15" s="414"/>
      <c r="AT15" s="415"/>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349"/>
      <c r="C16" s="349"/>
      <c r="D16" s="350"/>
      <c r="E16" s="387" t="s">
        <v>115</v>
      </c>
      <c r="F16" s="388"/>
      <c r="G16" s="388"/>
      <c r="H16" s="388"/>
      <c r="I16" s="388"/>
      <c r="J16" s="50" t="str">
        <f>IF(AND('Mapa final'!$Y$10="Alta",'Mapa final'!$AA$10="Leve"),CONCATENATE("R1C",'Mapa final'!$O$10),"")</f>
        <v/>
      </c>
      <c r="K16" s="51" t="str">
        <f>IF(AND('Mapa final'!$Y$11="Alta",'Mapa final'!$AA$11="Leve"),CONCATENATE("R1C",'Mapa final'!$O$11),"")</f>
        <v/>
      </c>
      <c r="L16" s="51" t="str">
        <f>IF(AND('Mapa final'!$Y$12="Alta",'Mapa final'!$AA$12="Leve"),CONCATENATE("R1C",'Mapa final'!$O$12),"")</f>
        <v/>
      </c>
      <c r="M16" s="51" t="str">
        <f>IF(AND('Mapa final'!$Y$13="Alta",'Mapa final'!$AA$13="Leve"),CONCATENATE("R1C",'Mapa final'!$O$13),"")</f>
        <v/>
      </c>
      <c r="N16" s="51" t="str">
        <f>IF(AND('Mapa final'!$Y$14="Alta",'Mapa final'!$AA$14="Leve"),CONCATENATE("R1C",'Mapa final'!$O$14),"")</f>
        <v/>
      </c>
      <c r="O16" s="52" t="str">
        <f>IF(AND('Mapa final'!$Y$15="Alta",'Mapa final'!$AA$15="Leve"),CONCATENATE("R1C",'Mapa final'!$O$15),"")</f>
        <v/>
      </c>
      <c r="P16" s="50" t="str">
        <f>IF(AND('Mapa final'!$Y$10="Alta",'Mapa final'!$AA$10="Menor"),CONCATENATE("R1C",'Mapa final'!$O$10),"")</f>
        <v/>
      </c>
      <c r="Q16" s="51" t="str">
        <f>IF(AND('Mapa final'!$Y$11="Alta",'Mapa final'!$AA$11="Menor"),CONCATENATE("R1C",'Mapa final'!$O$11),"")</f>
        <v/>
      </c>
      <c r="R16" s="51" t="str">
        <f>IF(AND('Mapa final'!$Y$12="Alta",'Mapa final'!$AA$12="Menor"),CONCATENATE("R1C",'Mapa final'!$O$12),"")</f>
        <v/>
      </c>
      <c r="S16" s="51" t="str">
        <f>IF(AND('Mapa final'!$Y$13="Alta",'Mapa final'!$AA$13="Menor"),CONCATENATE("R1C",'Mapa final'!$O$13),"")</f>
        <v/>
      </c>
      <c r="T16" s="51" t="str">
        <f>IF(AND('Mapa final'!$Y$14="Alta",'Mapa final'!$AA$14="Menor"),CONCATENATE("R1C",'Mapa final'!$O$14),"")</f>
        <v/>
      </c>
      <c r="U16" s="52" t="str">
        <f>IF(AND('Mapa final'!$Y$15="Alta",'Mapa final'!$AA$15="Menor"),CONCATENATE("R1C",'Mapa final'!$O$15),"")</f>
        <v/>
      </c>
      <c r="V16" s="32" t="str">
        <f>IF(AND('Mapa final'!$Y$10="Alta",'Mapa final'!$AA$10="Moderado"),CONCATENATE("R1C",'Mapa final'!$O$10),"")</f>
        <v/>
      </c>
      <c r="W16" s="33" t="str">
        <f>IF(AND('Mapa final'!$Y$11="Alta",'Mapa final'!$AA$11="Moderado"),CONCATENATE("R1C",'Mapa final'!$O$11),"")</f>
        <v/>
      </c>
      <c r="X16" s="33" t="str">
        <f>IF(AND('Mapa final'!$Y$12="Alta",'Mapa final'!$AA$12="Moderado"),CONCATENATE("R1C",'Mapa final'!$O$12),"")</f>
        <v/>
      </c>
      <c r="Y16" s="33" t="str">
        <f>IF(AND('Mapa final'!$Y$13="Alta",'Mapa final'!$AA$13="Moderado"),CONCATENATE("R1C",'Mapa final'!$O$13),"")</f>
        <v/>
      </c>
      <c r="Z16" s="33" t="str">
        <f>IF(AND('Mapa final'!$Y$14="Alta",'Mapa final'!$AA$14="Moderado"),CONCATENATE("R1C",'Mapa final'!$O$14),"")</f>
        <v/>
      </c>
      <c r="AA16" s="34" t="str">
        <f>IF(AND('Mapa final'!$Y$15="Alta",'Mapa final'!$AA$15="Moderado"),CONCATENATE("R1C",'Mapa final'!$O$15),"")</f>
        <v/>
      </c>
      <c r="AB16" s="32" t="str">
        <f>IF(AND('Mapa final'!$Y$10="Alta",'Mapa final'!$AA$10="Mayor"),CONCATENATE("R1C",'Mapa final'!$O$10),"")</f>
        <v/>
      </c>
      <c r="AC16" s="33" t="str">
        <f>IF(AND('Mapa final'!$Y$11="Alta",'Mapa final'!$AA$11="Mayor"),CONCATENATE("R1C",'Mapa final'!$O$11),"")</f>
        <v/>
      </c>
      <c r="AD16" s="33" t="str">
        <f>IF(AND('Mapa final'!$Y$12="Alta",'Mapa final'!$AA$12="Mayor"),CONCATENATE("R1C",'Mapa final'!$O$12),"")</f>
        <v/>
      </c>
      <c r="AE16" s="33" t="str">
        <f>IF(AND('Mapa final'!$Y$13="Alta",'Mapa final'!$AA$13="Mayor"),CONCATENATE("R1C",'Mapa final'!$O$13),"")</f>
        <v/>
      </c>
      <c r="AF16" s="33" t="str">
        <f>IF(AND('Mapa final'!$Y$14="Alta",'Mapa final'!$AA$14="Mayor"),CONCATENATE("R1C",'Mapa final'!$O$14),"")</f>
        <v/>
      </c>
      <c r="AG16" s="34" t="str">
        <f>IF(AND('Mapa final'!$Y$15="Alta",'Mapa final'!$AA$15="Mayor"),CONCATENATE("R1C",'Mapa final'!$O$15),"")</f>
        <v/>
      </c>
      <c r="AH16" s="35" t="str">
        <f>IF(AND('Mapa final'!$Y$10="Alta",'Mapa final'!$AA$10="Catastrófico"),CONCATENATE("R1C",'Mapa final'!$O$10),"")</f>
        <v/>
      </c>
      <c r="AI16" s="36" t="str">
        <f>IF(AND('Mapa final'!$Y$11="Alta",'Mapa final'!$AA$11="Catastrófico"),CONCATENATE("R1C",'Mapa final'!$O$11),"")</f>
        <v/>
      </c>
      <c r="AJ16" s="36" t="str">
        <f>IF(AND('Mapa final'!$Y$12="Alta",'Mapa final'!$AA$12="Catastrófico"),CONCATENATE("R1C",'Mapa final'!$O$12),"")</f>
        <v/>
      </c>
      <c r="AK16" s="36" t="str">
        <f>IF(AND('Mapa final'!$Y$13="Alta",'Mapa final'!$AA$13="Catastrófico"),CONCATENATE("R1C",'Mapa final'!$O$13),"")</f>
        <v/>
      </c>
      <c r="AL16" s="36" t="str">
        <f>IF(AND('Mapa final'!$Y$14="Alta",'Mapa final'!$AA$14="Catastrófico"),CONCATENATE("R1C",'Mapa final'!$O$14),"")</f>
        <v/>
      </c>
      <c r="AM16" s="37" t="str">
        <f>IF(AND('Mapa final'!$Y$15="Alta",'Mapa final'!$AA$15="Catastrófico"),CONCATENATE("R1C",'Mapa final'!$O$15),"")</f>
        <v/>
      </c>
      <c r="AN16" s="69"/>
      <c r="AO16" s="397" t="s">
        <v>80</v>
      </c>
      <c r="AP16" s="398"/>
      <c r="AQ16" s="398"/>
      <c r="AR16" s="398"/>
      <c r="AS16" s="398"/>
      <c r="AT16" s="39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349"/>
      <c r="C17" s="349"/>
      <c r="D17" s="350"/>
      <c r="E17" s="406"/>
      <c r="F17" s="391"/>
      <c r="G17" s="391"/>
      <c r="H17" s="391"/>
      <c r="I17" s="391"/>
      <c r="J17" s="53" t="str">
        <f>IF(AND('Mapa final'!$Y$16="Alta",'Mapa final'!$AA$16="Leve"),CONCATENATE("R2C",'Mapa final'!$O$16),"")</f>
        <v/>
      </c>
      <c r="K17" s="54" t="str">
        <f>IF(AND('Mapa final'!$Y$17="Alta",'Mapa final'!$AA$17="Leve"),CONCATENATE("R2C",'Mapa final'!$O$17),"")</f>
        <v/>
      </c>
      <c r="L17" s="54" t="str">
        <f>IF(AND('Mapa final'!$Y$18="Alta",'Mapa final'!$AA$18="Leve"),CONCATENATE("R2C",'Mapa final'!$O$18),"")</f>
        <v/>
      </c>
      <c r="M17" s="54" t="str">
        <f>IF(AND('Mapa final'!$Y$19="Alta",'Mapa final'!$AA$19="Leve"),CONCATENATE("R2C",'Mapa final'!$O$19),"")</f>
        <v/>
      </c>
      <c r="N17" s="54" t="str">
        <f>IF(AND('Mapa final'!$Y$20="Alta",'Mapa final'!$AA$20="Leve"),CONCATENATE("R2C",'Mapa final'!$O$20),"")</f>
        <v/>
      </c>
      <c r="O17" s="55" t="str">
        <f>IF(AND('Mapa final'!$Y$21="Alta",'Mapa final'!$AA$21="Leve"),CONCATENATE("R2C",'Mapa final'!$O$21),"")</f>
        <v/>
      </c>
      <c r="P17" s="53" t="str">
        <f>IF(AND('Mapa final'!$Y$16="Alta",'Mapa final'!$AA$16="Menor"),CONCATENATE("R2C",'Mapa final'!$O$16),"")</f>
        <v/>
      </c>
      <c r="Q17" s="54" t="str">
        <f>IF(AND('Mapa final'!$Y$17="Alta",'Mapa final'!$AA$17="Menor"),CONCATENATE("R2C",'Mapa final'!$O$17),"")</f>
        <v/>
      </c>
      <c r="R17" s="54" t="str">
        <f>IF(AND('Mapa final'!$Y$18="Alta",'Mapa final'!$AA$18="Menor"),CONCATENATE("R2C",'Mapa final'!$O$18),"")</f>
        <v/>
      </c>
      <c r="S17" s="54" t="str">
        <f>IF(AND('Mapa final'!$Y$19="Alta",'Mapa final'!$AA$19="Menor"),CONCATENATE("R2C",'Mapa final'!$O$19),"")</f>
        <v/>
      </c>
      <c r="T17" s="54" t="str">
        <f>IF(AND('Mapa final'!$Y$20="Alta",'Mapa final'!$AA$20="Menor"),CONCATENATE("R2C",'Mapa final'!$O$20),"")</f>
        <v/>
      </c>
      <c r="U17" s="55" t="str">
        <f>IF(AND('Mapa final'!$Y$21="Alta",'Mapa final'!$AA$21="Menor"),CONCATENATE("R2C",'Mapa final'!$O$21),"")</f>
        <v/>
      </c>
      <c r="V17" s="38" t="str">
        <f>IF(AND('Mapa final'!$Y$16="Alta",'Mapa final'!$AA$16="Moderado"),CONCATENATE("R2C",'Mapa final'!$O$16),"")</f>
        <v/>
      </c>
      <c r="W17" s="39" t="str">
        <f>IF(AND('Mapa final'!$Y$17="Alta",'Mapa final'!$AA$17="Moderado"),CONCATENATE("R2C",'Mapa final'!$O$17),"")</f>
        <v/>
      </c>
      <c r="X17" s="39" t="str">
        <f>IF(AND('Mapa final'!$Y$18="Alta",'Mapa final'!$AA$18="Moderado"),CONCATENATE("R2C",'Mapa final'!$O$18),"")</f>
        <v/>
      </c>
      <c r="Y17" s="39" t="str">
        <f>IF(AND('Mapa final'!$Y$19="Alta",'Mapa final'!$AA$19="Moderado"),CONCATENATE("R2C",'Mapa final'!$O$19),"")</f>
        <v/>
      </c>
      <c r="Z17" s="39" t="str">
        <f>IF(AND('Mapa final'!$Y$20="Alta",'Mapa final'!$AA$20="Moderado"),CONCATENATE("R2C",'Mapa final'!$O$20),"")</f>
        <v/>
      </c>
      <c r="AA17" s="40" t="str">
        <f>IF(AND('Mapa final'!$Y$21="Alta",'Mapa final'!$AA$21="Moderado"),CONCATENATE("R2C",'Mapa final'!$O$21),"")</f>
        <v/>
      </c>
      <c r="AB17" s="38" t="str">
        <f>IF(AND('Mapa final'!$Y$16="Alta",'Mapa final'!$AA$16="Mayor"),CONCATENATE("R2C",'Mapa final'!$O$16),"")</f>
        <v/>
      </c>
      <c r="AC17" s="39" t="str">
        <f>IF(AND('Mapa final'!$Y$17="Alta",'Mapa final'!$AA$17="Mayor"),CONCATENATE("R2C",'Mapa final'!$O$17),"")</f>
        <v/>
      </c>
      <c r="AD17" s="39" t="str">
        <f>IF(AND('Mapa final'!$Y$18="Alta",'Mapa final'!$AA$18="Mayor"),CONCATENATE("R2C",'Mapa final'!$O$18),"")</f>
        <v/>
      </c>
      <c r="AE17" s="39" t="str">
        <f>IF(AND('Mapa final'!$Y$19="Alta",'Mapa final'!$AA$19="Mayor"),CONCATENATE("R2C",'Mapa final'!$O$19),"")</f>
        <v/>
      </c>
      <c r="AF17" s="39" t="str">
        <f>IF(AND('Mapa final'!$Y$20="Alta",'Mapa final'!$AA$20="Mayor"),CONCATENATE("R2C",'Mapa final'!$O$20),"")</f>
        <v/>
      </c>
      <c r="AG17" s="40" t="str">
        <f>IF(AND('Mapa final'!$Y$21="Alta",'Mapa final'!$AA$21="Mayor"),CONCATENATE("R2C",'Mapa final'!$O$21),"")</f>
        <v/>
      </c>
      <c r="AH17" s="41" t="str">
        <f>IF(AND('Mapa final'!$Y$16="Alta",'Mapa final'!$AA$16="Catastrófico"),CONCATENATE("R2C",'Mapa final'!$O$16),"")</f>
        <v/>
      </c>
      <c r="AI17" s="42" t="str">
        <f>IF(AND('Mapa final'!$Y$17="Alta",'Mapa final'!$AA$17="Catastrófico"),CONCATENATE("R2C",'Mapa final'!$O$17),"")</f>
        <v/>
      </c>
      <c r="AJ17" s="42" t="str">
        <f>IF(AND('Mapa final'!$Y$18="Alta",'Mapa final'!$AA$18="Catastrófico"),CONCATENATE("R2C",'Mapa final'!$O$18),"")</f>
        <v/>
      </c>
      <c r="AK17" s="42" t="str">
        <f>IF(AND('Mapa final'!$Y$19="Alta",'Mapa final'!$AA$19="Catastrófico"),CONCATENATE("R2C",'Mapa final'!$O$19),"")</f>
        <v/>
      </c>
      <c r="AL17" s="42" t="str">
        <f>IF(AND('Mapa final'!$Y$20="Alta",'Mapa final'!$AA$20="Catastrófico"),CONCATENATE("R2C",'Mapa final'!$O$20),"")</f>
        <v/>
      </c>
      <c r="AM17" s="43" t="str">
        <f>IF(AND('Mapa final'!$Y$21="Alta",'Mapa final'!$AA$21="Catastrófico"),CONCATENATE("R2C",'Mapa final'!$O$21),"")</f>
        <v/>
      </c>
      <c r="AN17" s="69"/>
      <c r="AO17" s="400"/>
      <c r="AP17" s="401"/>
      <c r="AQ17" s="401"/>
      <c r="AR17" s="401"/>
      <c r="AS17" s="401"/>
      <c r="AT17" s="402"/>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349"/>
      <c r="C18" s="349"/>
      <c r="D18" s="350"/>
      <c r="E18" s="390"/>
      <c r="F18" s="391"/>
      <c r="G18" s="391"/>
      <c r="H18" s="391"/>
      <c r="I18" s="391"/>
      <c r="J18" s="53" t="str">
        <f>IF(AND('Mapa final'!$Y$22="Alta",'Mapa final'!$AA$22="Leve"),CONCATENATE("R3C",'Mapa final'!$O$22),"")</f>
        <v/>
      </c>
      <c r="K18" s="54" t="str">
        <f>IF(AND('Mapa final'!$Y$23="Alta",'Mapa final'!$AA$23="Leve"),CONCATENATE("R3C",'Mapa final'!$O$23),"")</f>
        <v/>
      </c>
      <c r="L18" s="54" t="str">
        <f>IF(AND('Mapa final'!$Y$24="Alta",'Mapa final'!$AA$24="Leve"),CONCATENATE("R3C",'Mapa final'!$O$24),"")</f>
        <v/>
      </c>
      <c r="M18" s="54" t="str">
        <f>IF(AND('Mapa final'!$Y$25="Alta",'Mapa final'!$AA$25="Leve"),CONCATENATE("R3C",'Mapa final'!$O$25),"")</f>
        <v/>
      </c>
      <c r="N18" s="54" t="str">
        <f>IF(AND('Mapa final'!$Y$26="Alta",'Mapa final'!$AA$26="Leve"),CONCATENATE("R3C",'Mapa final'!$O$26),"")</f>
        <v/>
      </c>
      <c r="O18" s="55" t="str">
        <f>IF(AND('Mapa final'!$Y$27="Alta",'Mapa final'!$AA$27="Leve"),CONCATENATE("R3C",'Mapa final'!$O$27),"")</f>
        <v/>
      </c>
      <c r="P18" s="53" t="str">
        <f>IF(AND('Mapa final'!$Y$22="Alta",'Mapa final'!$AA$22="Menor"),CONCATENATE("R3C",'Mapa final'!$O$22),"")</f>
        <v/>
      </c>
      <c r="Q18" s="54" t="str">
        <f>IF(AND('Mapa final'!$Y$23="Alta",'Mapa final'!$AA$23="Menor"),CONCATENATE("R3C",'Mapa final'!$O$23),"")</f>
        <v/>
      </c>
      <c r="R18" s="54" t="str">
        <f>IF(AND('Mapa final'!$Y$24="Alta",'Mapa final'!$AA$24="Menor"),CONCATENATE("R3C",'Mapa final'!$O$24),"")</f>
        <v/>
      </c>
      <c r="S18" s="54" t="str">
        <f>IF(AND('Mapa final'!$Y$25="Alta",'Mapa final'!$AA$25="Menor"),CONCATENATE("R3C",'Mapa final'!$O$25),"")</f>
        <v/>
      </c>
      <c r="T18" s="54" t="str">
        <f>IF(AND('Mapa final'!$Y$26="Alta",'Mapa final'!$AA$26="Menor"),CONCATENATE("R3C",'Mapa final'!$O$26),"")</f>
        <v/>
      </c>
      <c r="U18" s="55" t="str">
        <f>IF(AND('Mapa final'!$Y$27="Alta",'Mapa final'!$AA$27="Menor"),CONCATENATE("R3C",'Mapa final'!$O$27),"")</f>
        <v/>
      </c>
      <c r="V18" s="38" t="str">
        <f>IF(AND('Mapa final'!$Y$22="Alta",'Mapa final'!$AA$22="Moderado"),CONCATENATE("R3C",'Mapa final'!$O$22),"")</f>
        <v/>
      </c>
      <c r="W18" s="39" t="str">
        <f>IF(AND('Mapa final'!$Y$23="Alta",'Mapa final'!$AA$23="Moderado"),CONCATENATE("R3C",'Mapa final'!$O$23),"")</f>
        <v/>
      </c>
      <c r="X18" s="39" t="str">
        <f>IF(AND('Mapa final'!$Y$24="Alta",'Mapa final'!$AA$24="Moderado"),CONCATENATE("R3C",'Mapa final'!$O$24),"")</f>
        <v/>
      </c>
      <c r="Y18" s="39" t="str">
        <f>IF(AND('Mapa final'!$Y$25="Alta",'Mapa final'!$AA$25="Moderado"),CONCATENATE("R3C",'Mapa final'!$O$25),"")</f>
        <v/>
      </c>
      <c r="Z18" s="39" t="str">
        <f>IF(AND('Mapa final'!$Y$26="Alta",'Mapa final'!$AA$26="Moderado"),CONCATENATE("R3C",'Mapa final'!$O$26),"")</f>
        <v/>
      </c>
      <c r="AA18" s="40" t="str">
        <f>IF(AND('Mapa final'!$Y$27="Alta",'Mapa final'!$AA$27="Moderado"),CONCATENATE("R3C",'Mapa final'!$O$27),"")</f>
        <v/>
      </c>
      <c r="AB18" s="38" t="str">
        <f>IF(AND('Mapa final'!$Y$22="Alta",'Mapa final'!$AA$22="Mayor"),CONCATENATE("R3C",'Mapa final'!$O$22),"")</f>
        <v/>
      </c>
      <c r="AC18" s="39" t="str">
        <f>IF(AND('Mapa final'!$Y$23="Alta",'Mapa final'!$AA$23="Mayor"),CONCATENATE("R3C",'Mapa final'!$O$23),"")</f>
        <v/>
      </c>
      <c r="AD18" s="39" t="str">
        <f>IF(AND('Mapa final'!$Y$24="Alta",'Mapa final'!$AA$24="Mayor"),CONCATENATE("R3C",'Mapa final'!$O$24),"")</f>
        <v/>
      </c>
      <c r="AE18" s="39" t="str">
        <f>IF(AND('Mapa final'!$Y$25="Alta",'Mapa final'!$AA$25="Mayor"),CONCATENATE("R3C",'Mapa final'!$O$25),"")</f>
        <v/>
      </c>
      <c r="AF18" s="39" t="str">
        <f>IF(AND('Mapa final'!$Y$26="Alta",'Mapa final'!$AA$26="Mayor"),CONCATENATE("R3C",'Mapa final'!$O$26),"")</f>
        <v/>
      </c>
      <c r="AG18" s="40" t="str">
        <f>IF(AND('Mapa final'!$Y$27="Alta",'Mapa final'!$AA$27="Mayor"),CONCATENATE("R3C",'Mapa final'!$O$27),"")</f>
        <v/>
      </c>
      <c r="AH18" s="41" t="str">
        <f>IF(AND('Mapa final'!$Y$22="Alta",'Mapa final'!$AA$22="Catastrófico"),CONCATENATE("R3C",'Mapa final'!$O$22),"")</f>
        <v/>
      </c>
      <c r="AI18" s="42" t="str">
        <f>IF(AND('Mapa final'!$Y$23="Alta",'Mapa final'!$AA$23="Catastrófico"),CONCATENATE("R3C",'Mapa final'!$O$23),"")</f>
        <v/>
      </c>
      <c r="AJ18" s="42" t="str">
        <f>IF(AND('Mapa final'!$Y$24="Alta",'Mapa final'!$AA$24="Catastrófico"),CONCATENATE("R3C",'Mapa final'!$O$24),"")</f>
        <v/>
      </c>
      <c r="AK18" s="42" t="str">
        <f>IF(AND('Mapa final'!$Y$25="Alta",'Mapa final'!$AA$25="Catastrófico"),CONCATENATE("R3C",'Mapa final'!$O$25),"")</f>
        <v/>
      </c>
      <c r="AL18" s="42" t="str">
        <f>IF(AND('Mapa final'!$Y$26="Alta",'Mapa final'!$AA$26="Catastrófico"),CONCATENATE("R3C",'Mapa final'!$O$26),"")</f>
        <v/>
      </c>
      <c r="AM18" s="43" t="str">
        <f>IF(AND('Mapa final'!$Y$27="Alta",'Mapa final'!$AA$27="Catastrófico"),CONCATENATE("R3C",'Mapa final'!$O$27),"")</f>
        <v/>
      </c>
      <c r="AN18" s="69"/>
      <c r="AO18" s="400"/>
      <c r="AP18" s="401"/>
      <c r="AQ18" s="401"/>
      <c r="AR18" s="401"/>
      <c r="AS18" s="401"/>
      <c r="AT18" s="402"/>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349"/>
      <c r="C19" s="349"/>
      <c r="D19" s="350"/>
      <c r="E19" s="390"/>
      <c r="F19" s="391"/>
      <c r="G19" s="391"/>
      <c r="H19" s="391"/>
      <c r="I19" s="391"/>
      <c r="J19" s="53" t="str">
        <f>IF(AND('Mapa final'!$Y$28="Alta",'Mapa final'!$AA$28="Leve"),CONCATENATE("R4C",'Mapa final'!$O$28),"")</f>
        <v/>
      </c>
      <c r="K19" s="54" t="str">
        <f>IF(AND('Mapa final'!$Y$29="Alta",'Mapa final'!$AA$29="Leve"),CONCATENATE("R4C",'Mapa final'!$O$29),"")</f>
        <v/>
      </c>
      <c r="L19" s="54" t="str">
        <f>IF(AND('Mapa final'!$Y$30="Alta",'Mapa final'!$AA$30="Leve"),CONCATENATE("R4C",'Mapa final'!$O$30),"")</f>
        <v/>
      </c>
      <c r="M19" s="54" t="str">
        <f>IF(AND('Mapa final'!$Y$31="Alta",'Mapa final'!$AA$31="Leve"),CONCATENATE("R4C",'Mapa final'!$O$31),"")</f>
        <v/>
      </c>
      <c r="N19" s="54" t="str">
        <f>IF(AND('Mapa final'!$Y$32="Alta",'Mapa final'!$AA$32="Leve"),CONCATENATE("R4C",'Mapa final'!$O$32),"")</f>
        <v/>
      </c>
      <c r="O19" s="55" t="str">
        <f>IF(AND('Mapa final'!$Y$33="Alta",'Mapa final'!$AA$33="Leve"),CONCATENATE("R4C",'Mapa final'!$O$33),"")</f>
        <v/>
      </c>
      <c r="P19" s="53" t="str">
        <f>IF(AND('Mapa final'!$Y$28="Alta",'Mapa final'!$AA$28="Menor"),CONCATENATE("R4C",'Mapa final'!$O$28),"")</f>
        <v/>
      </c>
      <c r="Q19" s="54" t="str">
        <f>IF(AND('Mapa final'!$Y$29="Alta",'Mapa final'!$AA$29="Menor"),CONCATENATE("R4C",'Mapa final'!$O$29),"")</f>
        <v/>
      </c>
      <c r="R19" s="54" t="str">
        <f>IF(AND('Mapa final'!$Y$30="Alta",'Mapa final'!$AA$30="Menor"),CONCATENATE("R4C",'Mapa final'!$O$30),"")</f>
        <v/>
      </c>
      <c r="S19" s="54" t="str">
        <f>IF(AND('Mapa final'!$Y$31="Alta",'Mapa final'!$AA$31="Menor"),CONCATENATE("R4C",'Mapa final'!$O$31),"")</f>
        <v/>
      </c>
      <c r="T19" s="54" t="str">
        <f>IF(AND('Mapa final'!$Y$32="Alta",'Mapa final'!$AA$32="Menor"),CONCATENATE("R4C",'Mapa final'!$O$32),"")</f>
        <v/>
      </c>
      <c r="U19" s="55" t="str">
        <f>IF(AND('Mapa final'!$Y$33="Alta",'Mapa final'!$AA$33="Menor"),CONCATENATE("R4C",'Mapa final'!$O$33),"")</f>
        <v/>
      </c>
      <c r="V19" s="38" t="str">
        <f>IF(AND('Mapa final'!$Y$28="Alta",'Mapa final'!$AA$28="Moderado"),CONCATENATE("R4C",'Mapa final'!$O$28),"")</f>
        <v/>
      </c>
      <c r="W19" s="39" t="str">
        <f>IF(AND('Mapa final'!$Y$29="Alta",'Mapa final'!$AA$29="Moderado"),CONCATENATE("R4C",'Mapa final'!$O$29),"")</f>
        <v/>
      </c>
      <c r="X19" s="39" t="str">
        <f>IF(AND('Mapa final'!$Y$30="Alta",'Mapa final'!$AA$30="Moderado"),CONCATENATE("R4C",'Mapa final'!$O$30),"")</f>
        <v/>
      </c>
      <c r="Y19" s="39" t="str">
        <f>IF(AND('Mapa final'!$Y$31="Alta",'Mapa final'!$AA$31="Moderado"),CONCATENATE("R4C",'Mapa final'!$O$31),"")</f>
        <v/>
      </c>
      <c r="Z19" s="39" t="str">
        <f>IF(AND('Mapa final'!$Y$32="Alta",'Mapa final'!$AA$32="Moderado"),CONCATENATE("R4C",'Mapa final'!$O$32),"")</f>
        <v/>
      </c>
      <c r="AA19" s="40" t="str">
        <f>IF(AND('Mapa final'!$Y$33="Alta",'Mapa final'!$AA$33="Moderado"),CONCATENATE("R4C",'Mapa final'!$O$33),"")</f>
        <v/>
      </c>
      <c r="AB19" s="38" t="str">
        <f>IF(AND('Mapa final'!$Y$28="Alta",'Mapa final'!$AA$28="Mayor"),CONCATENATE("R4C",'Mapa final'!$O$28),"")</f>
        <v/>
      </c>
      <c r="AC19" s="39" t="str">
        <f>IF(AND('Mapa final'!$Y$29="Alta",'Mapa final'!$AA$29="Mayor"),CONCATENATE("R4C",'Mapa final'!$O$29),"")</f>
        <v/>
      </c>
      <c r="AD19" s="39" t="str">
        <f>IF(AND('Mapa final'!$Y$30="Alta",'Mapa final'!$AA$30="Mayor"),CONCATENATE("R4C",'Mapa final'!$O$30),"")</f>
        <v/>
      </c>
      <c r="AE19" s="39" t="str">
        <f>IF(AND('Mapa final'!$Y$31="Alta",'Mapa final'!$AA$31="Mayor"),CONCATENATE("R4C",'Mapa final'!$O$31),"")</f>
        <v/>
      </c>
      <c r="AF19" s="39" t="str">
        <f>IF(AND('Mapa final'!$Y$32="Alta",'Mapa final'!$AA$32="Mayor"),CONCATENATE("R4C",'Mapa final'!$O$32),"")</f>
        <v/>
      </c>
      <c r="AG19" s="40" t="str">
        <f>IF(AND('Mapa final'!$Y$33="Alta",'Mapa final'!$AA$33="Mayor"),CONCATENATE("R4C",'Mapa final'!$O$33),"")</f>
        <v/>
      </c>
      <c r="AH19" s="41" t="str">
        <f>IF(AND('Mapa final'!$Y$28="Alta",'Mapa final'!$AA$28="Catastrófico"),CONCATENATE("R4C",'Mapa final'!$O$28),"")</f>
        <v/>
      </c>
      <c r="AI19" s="42" t="str">
        <f>IF(AND('Mapa final'!$Y$29="Alta",'Mapa final'!$AA$29="Catastrófico"),CONCATENATE("R4C",'Mapa final'!$O$29),"")</f>
        <v/>
      </c>
      <c r="AJ19" s="42" t="str">
        <f>IF(AND('Mapa final'!$Y$30="Alta",'Mapa final'!$AA$30="Catastrófico"),CONCATENATE("R4C",'Mapa final'!$O$30),"")</f>
        <v/>
      </c>
      <c r="AK19" s="42" t="str">
        <f>IF(AND('Mapa final'!$Y$31="Alta",'Mapa final'!$AA$31="Catastrófico"),CONCATENATE("R4C",'Mapa final'!$O$31),"")</f>
        <v/>
      </c>
      <c r="AL19" s="42" t="str">
        <f>IF(AND('Mapa final'!$Y$32="Alta",'Mapa final'!$AA$32="Catastrófico"),CONCATENATE("R4C",'Mapa final'!$O$32),"")</f>
        <v/>
      </c>
      <c r="AM19" s="43" t="str">
        <f>IF(AND('Mapa final'!$Y$33="Alta",'Mapa final'!$AA$33="Catastrófico"),CONCATENATE("R4C",'Mapa final'!$O$33),"")</f>
        <v/>
      </c>
      <c r="AN19" s="69"/>
      <c r="AO19" s="400"/>
      <c r="AP19" s="401"/>
      <c r="AQ19" s="401"/>
      <c r="AR19" s="401"/>
      <c r="AS19" s="401"/>
      <c r="AT19" s="402"/>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349"/>
      <c r="C20" s="349"/>
      <c r="D20" s="350"/>
      <c r="E20" s="390"/>
      <c r="F20" s="391"/>
      <c r="G20" s="391"/>
      <c r="H20" s="391"/>
      <c r="I20" s="391"/>
      <c r="J20" s="53" t="str">
        <f>IF(AND('Mapa final'!$Y$34="Alta",'Mapa final'!$AA$34="Leve"),CONCATENATE("R5C",'Mapa final'!$O$34),"")</f>
        <v/>
      </c>
      <c r="K20" s="54" t="str">
        <f>IF(AND('Mapa final'!$Y$35="Alta",'Mapa final'!$AA$35="Leve"),CONCATENATE("R5C",'Mapa final'!$O$35),"")</f>
        <v/>
      </c>
      <c r="L20" s="54" t="str">
        <f>IF(AND('Mapa final'!$Y$36="Alta",'Mapa final'!$AA$36="Leve"),CONCATENATE("R5C",'Mapa final'!$O$36),"")</f>
        <v/>
      </c>
      <c r="M20" s="54" t="str">
        <f>IF(AND('Mapa final'!$Y$37="Alta",'Mapa final'!$AA$37="Leve"),CONCATENATE("R5C",'Mapa final'!$O$37),"")</f>
        <v/>
      </c>
      <c r="N20" s="54" t="str">
        <f>IF(AND('Mapa final'!$Y$38="Alta",'Mapa final'!$AA$38="Leve"),CONCATENATE("R5C",'Mapa final'!$O$38),"")</f>
        <v/>
      </c>
      <c r="O20" s="55" t="str">
        <f>IF(AND('Mapa final'!$Y$39="Alta",'Mapa final'!$AA$39="Leve"),CONCATENATE("R5C",'Mapa final'!$O$39),"")</f>
        <v/>
      </c>
      <c r="P20" s="53" t="str">
        <f>IF(AND('Mapa final'!$Y$34="Alta",'Mapa final'!$AA$34="Menor"),CONCATENATE("R5C",'Mapa final'!$O$34),"")</f>
        <v/>
      </c>
      <c r="Q20" s="54" t="str">
        <f>IF(AND('Mapa final'!$Y$35="Alta",'Mapa final'!$AA$35="Menor"),CONCATENATE("R5C",'Mapa final'!$O$35),"")</f>
        <v/>
      </c>
      <c r="R20" s="54" t="str">
        <f>IF(AND('Mapa final'!$Y$36="Alta",'Mapa final'!$AA$36="Menor"),CONCATENATE("R5C",'Mapa final'!$O$36),"")</f>
        <v/>
      </c>
      <c r="S20" s="54" t="str">
        <f>IF(AND('Mapa final'!$Y$37="Alta",'Mapa final'!$AA$37="Menor"),CONCATENATE("R5C",'Mapa final'!$O$37),"")</f>
        <v/>
      </c>
      <c r="T20" s="54" t="str">
        <f>IF(AND('Mapa final'!$Y$38="Alta",'Mapa final'!$AA$38="Menor"),CONCATENATE("R5C",'Mapa final'!$O$38),"")</f>
        <v/>
      </c>
      <c r="U20" s="55" t="str">
        <f>IF(AND('Mapa final'!$Y$39="Alta",'Mapa final'!$AA$39="Menor"),CONCATENATE("R5C",'Mapa final'!$O$39),"")</f>
        <v/>
      </c>
      <c r="V20" s="38" t="str">
        <f>IF(AND('Mapa final'!$Y$34="Alta",'Mapa final'!$AA$34="Moderado"),CONCATENATE("R5C",'Mapa final'!$O$34),"")</f>
        <v/>
      </c>
      <c r="W20" s="39" t="str">
        <f>IF(AND('Mapa final'!$Y$35="Alta",'Mapa final'!$AA$35="Moderado"),CONCATENATE("R5C",'Mapa final'!$O$35),"")</f>
        <v/>
      </c>
      <c r="X20" s="39" t="str">
        <f>IF(AND('Mapa final'!$Y$36="Alta",'Mapa final'!$AA$36="Moderado"),CONCATENATE("R5C",'Mapa final'!$O$36),"")</f>
        <v/>
      </c>
      <c r="Y20" s="39" t="str">
        <f>IF(AND('Mapa final'!$Y$37="Alta",'Mapa final'!$AA$37="Moderado"),CONCATENATE("R5C",'Mapa final'!$O$37),"")</f>
        <v/>
      </c>
      <c r="Z20" s="39" t="str">
        <f>IF(AND('Mapa final'!$Y$38="Alta",'Mapa final'!$AA$38="Moderado"),CONCATENATE("R5C",'Mapa final'!$O$38),"")</f>
        <v/>
      </c>
      <c r="AA20" s="40" t="str">
        <f>IF(AND('Mapa final'!$Y$39="Alta",'Mapa final'!$AA$39="Moderado"),CONCATENATE("R5C",'Mapa final'!$O$39),"")</f>
        <v/>
      </c>
      <c r="AB20" s="38" t="str">
        <f>IF(AND('Mapa final'!$Y$34="Alta",'Mapa final'!$AA$34="Mayor"),CONCATENATE("R5C",'Mapa final'!$O$34),"")</f>
        <v/>
      </c>
      <c r="AC20" s="39" t="str">
        <f>IF(AND('Mapa final'!$Y$35="Alta",'Mapa final'!$AA$35="Mayor"),CONCATENATE("R5C",'Mapa final'!$O$35),"")</f>
        <v/>
      </c>
      <c r="AD20" s="39" t="str">
        <f>IF(AND('Mapa final'!$Y$36="Alta",'Mapa final'!$AA$36="Mayor"),CONCATENATE("R5C",'Mapa final'!$O$36),"")</f>
        <v/>
      </c>
      <c r="AE20" s="39" t="str">
        <f>IF(AND('Mapa final'!$Y$37="Alta",'Mapa final'!$AA$37="Mayor"),CONCATENATE("R5C",'Mapa final'!$O$37),"")</f>
        <v/>
      </c>
      <c r="AF20" s="39" t="str">
        <f>IF(AND('Mapa final'!$Y$38="Alta",'Mapa final'!$AA$38="Mayor"),CONCATENATE("R5C",'Mapa final'!$O$38),"")</f>
        <v/>
      </c>
      <c r="AG20" s="40" t="str">
        <f>IF(AND('Mapa final'!$Y$39="Alta",'Mapa final'!$AA$39="Mayor"),CONCATENATE("R5C",'Mapa final'!$O$39),"")</f>
        <v/>
      </c>
      <c r="AH20" s="41" t="str">
        <f>IF(AND('Mapa final'!$Y$34="Alta",'Mapa final'!$AA$34="Catastrófico"),CONCATENATE("R5C",'Mapa final'!$O$34),"")</f>
        <v/>
      </c>
      <c r="AI20" s="42" t="str">
        <f>IF(AND('Mapa final'!$Y$35="Alta",'Mapa final'!$AA$35="Catastrófico"),CONCATENATE("R5C",'Mapa final'!$O$35),"")</f>
        <v/>
      </c>
      <c r="AJ20" s="42" t="str">
        <f>IF(AND('Mapa final'!$Y$36="Alta",'Mapa final'!$AA$36="Catastrófico"),CONCATENATE("R5C",'Mapa final'!$O$36),"")</f>
        <v/>
      </c>
      <c r="AK20" s="42" t="str">
        <f>IF(AND('Mapa final'!$Y$37="Alta",'Mapa final'!$AA$37="Catastrófico"),CONCATENATE("R5C",'Mapa final'!$O$37),"")</f>
        <v/>
      </c>
      <c r="AL20" s="42" t="str">
        <f>IF(AND('Mapa final'!$Y$38="Alta",'Mapa final'!$AA$38="Catastrófico"),CONCATENATE("R5C",'Mapa final'!$O$38),"")</f>
        <v/>
      </c>
      <c r="AM20" s="43" t="str">
        <f>IF(AND('Mapa final'!$Y$39="Alta",'Mapa final'!$AA$39="Catastrófico"),CONCATENATE("R5C",'Mapa final'!$O$39),"")</f>
        <v/>
      </c>
      <c r="AN20" s="69"/>
      <c r="AO20" s="400"/>
      <c r="AP20" s="401"/>
      <c r="AQ20" s="401"/>
      <c r="AR20" s="401"/>
      <c r="AS20" s="401"/>
      <c r="AT20" s="402"/>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349"/>
      <c r="C21" s="349"/>
      <c r="D21" s="350"/>
      <c r="E21" s="390"/>
      <c r="F21" s="391"/>
      <c r="G21" s="391"/>
      <c r="H21" s="391"/>
      <c r="I21" s="391"/>
      <c r="J21" s="53" t="str">
        <f>IF(AND('Mapa final'!$Y$40="Alta",'Mapa final'!$AA$40="Leve"),CONCATENATE("R6C",'Mapa final'!$O$40),"")</f>
        <v/>
      </c>
      <c r="K21" s="54" t="str">
        <f>IF(AND('Mapa final'!$Y$41="Alta",'Mapa final'!$AA$41="Leve"),CONCATENATE("R6C",'Mapa final'!$O$41),"")</f>
        <v/>
      </c>
      <c r="L21" s="54" t="str">
        <f>IF(AND('Mapa final'!$Y$42="Alta",'Mapa final'!$AA$42="Leve"),CONCATENATE("R6C",'Mapa final'!$O$42),"")</f>
        <v/>
      </c>
      <c r="M21" s="54" t="str">
        <f>IF(AND('Mapa final'!$Y$43="Alta",'Mapa final'!$AA$43="Leve"),CONCATENATE("R6C",'Mapa final'!$O$43),"")</f>
        <v/>
      </c>
      <c r="N21" s="54" t="str">
        <f>IF(AND('Mapa final'!$Y$44="Alta",'Mapa final'!$AA$44="Leve"),CONCATENATE("R6C",'Mapa final'!$O$44),"")</f>
        <v/>
      </c>
      <c r="O21" s="55" t="str">
        <f>IF(AND('Mapa final'!$Y$45="Alta",'Mapa final'!$AA$45="Leve"),CONCATENATE("R6C",'Mapa final'!$O$45),"")</f>
        <v/>
      </c>
      <c r="P21" s="53" t="str">
        <f>IF(AND('Mapa final'!$Y$40="Alta",'Mapa final'!$AA$40="Menor"),CONCATENATE("R6C",'Mapa final'!$O$40),"")</f>
        <v/>
      </c>
      <c r="Q21" s="54" t="str">
        <f>IF(AND('Mapa final'!$Y$41="Alta",'Mapa final'!$AA$41="Menor"),CONCATENATE("R6C",'Mapa final'!$O$41),"")</f>
        <v/>
      </c>
      <c r="R21" s="54" t="str">
        <f>IF(AND('Mapa final'!$Y$42="Alta",'Mapa final'!$AA$42="Menor"),CONCATENATE("R6C",'Mapa final'!$O$42),"")</f>
        <v/>
      </c>
      <c r="S21" s="54" t="str">
        <f>IF(AND('Mapa final'!$Y$43="Alta",'Mapa final'!$AA$43="Menor"),CONCATENATE("R6C",'Mapa final'!$O$43),"")</f>
        <v/>
      </c>
      <c r="T21" s="54" t="str">
        <f>IF(AND('Mapa final'!$Y$44="Alta",'Mapa final'!$AA$44="Menor"),CONCATENATE("R6C",'Mapa final'!$O$44),"")</f>
        <v/>
      </c>
      <c r="U21" s="55" t="str">
        <f>IF(AND('Mapa final'!$Y$45="Alta",'Mapa final'!$AA$45="Menor"),CONCATENATE("R6C",'Mapa final'!$O$45),"")</f>
        <v/>
      </c>
      <c r="V21" s="38" t="str">
        <f>IF(AND('Mapa final'!$Y$40="Alta",'Mapa final'!$AA$40="Moderado"),CONCATENATE("R6C",'Mapa final'!$O$40),"")</f>
        <v/>
      </c>
      <c r="W21" s="39" t="str">
        <f>IF(AND('Mapa final'!$Y$41="Alta",'Mapa final'!$AA$41="Moderado"),CONCATENATE("R6C",'Mapa final'!$O$41),"")</f>
        <v/>
      </c>
      <c r="X21" s="39" t="str">
        <f>IF(AND('Mapa final'!$Y$42="Alta",'Mapa final'!$AA$42="Moderado"),CONCATENATE("R6C",'Mapa final'!$O$42),"")</f>
        <v/>
      </c>
      <c r="Y21" s="39" t="str">
        <f>IF(AND('Mapa final'!$Y$43="Alta",'Mapa final'!$AA$43="Moderado"),CONCATENATE("R6C",'Mapa final'!$O$43),"")</f>
        <v/>
      </c>
      <c r="Z21" s="39" t="str">
        <f>IF(AND('Mapa final'!$Y$44="Alta",'Mapa final'!$AA$44="Moderado"),CONCATENATE("R6C",'Mapa final'!$O$44),"")</f>
        <v/>
      </c>
      <c r="AA21" s="40" t="str">
        <f>IF(AND('Mapa final'!$Y$45="Alta",'Mapa final'!$AA$45="Moderado"),CONCATENATE("R6C",'Mapa final'!$O$45),"")</f>
        <v/>
      </c>
      <c r="AB21" s="38" t="str">
        <f>IF(AND('Mapa final'!$Y$40="Alta",'Mapa final'!$AA$40="Mayor"),CONCATENATE("R6C",'Mapa final'!$O$40),"")</f>
        <v/>
      </c>
      <c r="AC21" s="39" t="str">
        <f>IF(AND('Mapa final'!$Y$41="Alta",'Mapa final'!$AA$41="Mayor"),CONCATENATE("R6C",'Mapa final'!$O$41),"")</f>
        <v/>
      </c>
      <c r="AD21" s="39" t="str">
        <f>IF(AND('Mapa final'!$Y$42="Alta",'Mapa final'!$AA$42="Mayor"),CONCATENATE("R6C",'Mapa final'!$O$42),"")</f>
        <v/>
      </c>
      <c r="AE21" s="39" t="str">
        <f>IF(AND('Mapa final'!$Y$43="Alta",'Mapa final'!$AA$43="Mayor"),CONCATENATE("R6C",'Mapa final'!$O$43),"")</f>
        <v/>
      </c>
      <c r="AF21" s="39" t="str">
        <f>IF(AND('Mapa final'!$Y$44="Alta",'Mapa final'!$AA$44="Mayor"),CONCATENATE("R6C",'Mapa final'!$O$44),"")</f>
        <v/>
      </c>
      <c r="AG21" s="40" t="str">
        <f>IF(AND('Mapa final'!$Y$45="Alta",'Mapa final'!$AA$45="Mayor"),CONCATENATE("R6C",'Mapa final'!$O$45),"")</f>
        <v/>
      </c>
      <c r="AH21" s="41" t="str">
        <f>IF(AND('Mapa final'!$Y$40="Alta",'Mapa final'!$AA$40="Catastrófico"),CONCATENATE("R6C",'Mapa final'!$O$40),"")</f>
        <v/>
      </c>
      <c r="AI21" s="42" t="str">
        <f>IF(AND('Mapa final'!$Y$41="Alta",'Mapa final'!$AA$41="Catastrófico"),CONCATENATE("R6C",'Mapa final'!$O$41),"")</f>
        <v/>
      </c>
      <c r="AJ21" s="42" t="str">
        <f>IF(AND('Mapa final'!$Y$42="Alta",'Mapa final'!$AA$42="Catastrófico"),CONCATENATE("R6C",'Mapa final'!$O$42),"")</f>
        <v/>
      </c>
      <c r="AK21" s="42" t="str">
        <f>IF(AND('Mapa final'!$Y$43="Alta",'Mapa final'!$AA$43="Catastrófico"),CONCATENATE("R6C",'Mapa final'!$O$43),"")</f>
        <v/>
      </c>
      <c r="AL21" s="42" t="str">
        <f>IF(AND('Mapa final'!$Y$44="Alta",'Mapa final'!$AA$44="Catastrófico"),CONCATENATE("R6C",'Mapa final'!$O$44),"")</f>
        <v/>
      </c>
      <c r="AM21" s="43" t="str">
        <f>IF(AND('Mapa final'!$Y$45="Alta",'Mapa final'!$AA$45="Catastrófico"),CONCATENATE("R6C",'Mapa final'!$O$45),"")</f>
        <v/>
      </c>
      <c r="AN21" s="69"/>
      <c r="AO21" s="400"/>
      <c r="AP21" s="401"/>
      <c r="AQ21" s="401"/>
      <c r="AR21" s="401"/>
      <c r="AS21" s="401"/>
      <c r="AT21" s="402"/>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349"/>
      <c r="C22" s="349"/>
      <c r="D22" s="350"/>
      <c r="E22" s="390"/>
      <c r="F22" s="391"/>
      <c r="G22" s="391"/>
      <c r="H22" s="391"/>
      <c r="I22" s="391"/>
      <c r="J22" s="53" t="str">
        <f>IF(AND('Mapa final'!$Y$46="Alta",'Mapa final'!$AA$46="Leve"),CONCATENATE("R7C",'Mapa final'!$O$46),"")</f>
        <v/>
      </c>
      <c r="K22" s="54" t="str">
        <f>IF(AND('Mapa final'!$Y$47="Alta",'Mapa final'!$AA$47="Leve"),CONCATENATE("R7C",'Mapa final'!$O$47),"")</f>
        <v/>
      </c>
      <c r="L22" s="54" t="str">
        <f>IF(AND('Mapa final'!$Y$48="Alta",'Mapa final'!$AA$48="Leve"),CONCATENATE("R7C",'Mapa final'!$O$48),"")</f>
        <v/>
      </c>
      <c r="M22" s="54" t="str">
        <f>IF(AND('Mapa final'!$Y$49="Alta",'Mapa final'!$AA$49="Leve"),CONCATENATE("R7C",'Mapa final'!$O$49),"")</f>
        <v/>
      </c>
      <c r="N22" s="54" t="str">
        <f>IF(AND('Mapa final'!$Y$50="Alta",'Mapa final'!$AA$50="Leve"),CONCATENATE("R7C",'Mapa final'!$O$50),"")</f>
        <v/>
      </c>
      <c r="O22" s="55" t="str">
        <f>IF(AND('Mapa final'!$Y$51="Alta",'Mapa final'!$AA$51="Leve"),CONCATENATE("R7C",'Mapa final'!$O$51),"")</f>
        <v/>
      </c>
      <c r="P22" s="53" t="str">
        <f>IF(AND('Mapa final'!$Y$46="Alta",'Mapa final'!$AA$46="Menor"),CONCATENATE("R7C",'Mapa final'!$O$46),"")</f>
        <v/>
      </c>
      <c r="Q22" s="54" t="str">
        <f>IF(AND('Mapa final'!$Y$47="Alta",'Mapa final'!$AA$47="Menor"),CONCATENATE("R7C",'Mapa final'!$O$47),"")</f>
        <v/>
      </c>
      <c r="R22" s="54" t="str">
        <f>IF(AND('Mapa final'!$Y$48="Alta",'Mapa final'!$AA$48="Menor"),CONCATENATE("R7C",'Mapa final'!$O$48),"")</f>
        <v/>
      </c>
      <c r="S22" s="54" t="str">
        <f>IF(AND('Mapa final'!$Y$49="Alta",'Mapa final'!$AA$49="Menor"),CONCATENATE("R7C",'Mapa final'!$O$49),"")</f>
        <v/>
      </c>
      <c r="T22" s="54" t="str">
        <f>IF(AND('Mapa final'!$Y$50="Alta",'Mapa final'!$AA$50="Menor"),CONCATENATE("R7C",'Mapa final'!$O$50),"")</f>
        <v/>
      </c>
      <c r="U22" s="55" t="str">
        <f>IF(AND('Mapa final'!$Y$51="Alta",'Mapa final'!$AA$51="Menor"),CONCATENATE("R7C",'Mapa final'!$O$51),"")</f>
        <v/>
      </c>
      <c r="V22" s="38" t="str">
        <f>IF(AND('Mapa final'!$Y$46="Alta",'Mapa final'!$AA$46="Moderado"),CONCATENATE("R7C",'Mapa final'!$O$46),"")</f>
        <v/>
      </c>
      <c r="W22" s="39" t="str">
        <f>IF(AND('Mapa final'!$Y$47="Alta",'Mapa final'!$AA$47="Moderado"),CONCATENATE("R7C",'Mapa final'!$O$47),"")</f>
        <v/>
      </c>
      <c r="X22" s="39" t="str">
        <f>IF(AND('Mapa final'!$Y$48="Alta",'Mapa final'!$AA$48="Moderado"),CONCATENATE("R7C",'Mapa final'!$O$48),"")</f>
        <v/>
      </c>
      <c r="Y22" s="39" t="str">
        <f>IF(AND('Mapa final'!$Y$49="Alta",'Mapa final'!$AA$49="Moderado"),CONCATENATE("R7C",'Mapa final'!$O$49),"")</f>
        <v/>
      </c>
      <c r="Z22" s="39" t="str">
        <f>IF(AND('Mapa final'!$Y$50="Alta",'Mapa final'!$AA$50="Moderado"),CONCATENATE("R7C",'Mapa final'!$O$50),"")</f>
        <v/>
      </c>
      <c r="AA22" s="40" t="str">
        <f>IF(AND('Mapa final'!$Y$51="Alta",'Mapa final'!$AA$51="Moderado"),CONCATENATE("R7C",'Mapa final'!$O$51),"")</f>
        <v/>
      </c>
      <c r="AB22" s="38" t="str">
        <f>IF(AND('Mapa final'!$Y$46="Alta",'Mapa final'!$AA$46="Mayor"),CONCATENATE("R7C",'Mapa final'!$O$46),"")</f>
        <v/>
      </c>
      <c r="AC22" s="39" t="str">
        <f>IF(AND('Mapa final'!$Y$47="Alta",'Mapa final'!$AA$47="Mayor"),CONCATENATE("R7C",'Mapa final'!$O$47),"")</f>
        <v/>
      </c>
      <c r="AD22" s="39" t="str">
        <f>IF(AND('Mapa final'!$Y$48="Alta",'Mapa final'!$AA$48="Mayor"),CONCATENATE("R7C",'Mapa final'!$O$48),"")</f>
        <v/>
      </c>
      <c r="AE22" s="39" t="str">
        <f>IF(AND('Mapa final'!$Y$49="Alta",'Mapa final'!$AA$49="Mayor"),CONCATENATE("R7C",'Mapa final'!$O$49),"")</f>
        <v/>
      </c>
      <c r="AF22" s="39" t="str">
        <f>IF(AND('Mapa final'!$Y$50="Alta",'Mapa final'!$AA$50="Mayor"),CONCATENATE("R7C",'Mapa final'!$O$50),"")</f>
        <v/>
      </c>
      <c r="AG22" s="40" t="str">
        <f>IF(AND('Mapa final'!$Y$51="Alta",'Mapa final'!$AA$51="Mayor"),CONCATENATE("R7C",'Mapa final'!$O$51),"")</f>
        <v/>
      </c>
      <c r="AH22" s="41" t="str">
        <f>IF(AND('Mapa final'!$Y$46="Alta",'Mapa final'!$AA$46="Catastrófico"),CONCATENATE("R7C",'Mapa final'!$O$46),"")</f>
        <v/>
      </c>
      <c r="AI22" s="42" t="str">
        <f>IF(AND('Mapa final'!$Y$47="Alta",'Mapa final'!$AA$47="Catastrófico"),CONCATENATE("R7C",'Mapa final'!$O$47),"")</f>
        <v/>
      </c>
      <c r="AJ22" s="42" t="str">
        <f>IF(AND('Mapa final'!$Y$48="Alta",'Mapa final'!$AA$48="Catastrófico"),CONCATENATE("R7C",'Mapa final'!$O$48),"")</f>
        <v/>
      </c>
      <c r="AK22" s="42" t="str">
        <f>IF(AND('Mapa final'!$Y$49="Alta",'Mapa final'!$AA$49="Catastrófico"),CONCATENATE("R7C",'Mapa final'!$O$49),"")</f>
        <v/>
      </c>
      <c r="AL22" s="42" t="str">
        <f>IF(AND('Mapa final'!$Y$50="Alta",'Mapa final'!$AA$50="Catastrófico"),CONCATENATE("R7C",'Mapa final'!$O$50),"")</f>
        <v/>
      </c>
      <c r="AM22" s="43" t="str">
        <f>IF(AND('Mapa final'!$Y$51="Alta",'Mapa final'!$AA$51="Catastrófico"),CONCATENATE("R7C",'Mapa final'!$O$51),"")</f>
        <v/>
      </c>
      <c r="AN22" s="69"/>
      <c r="AO22" s="400"/>
      <c r="AP22" s="401"/>
      <c r="AQ22" s="401"/>
      <c r="AR22" s="401"/>
      <c r="AS22" s="401"/>
      <c r="AT22" s="402"/>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349"/>
      <c r="C23" s="349"/>
      <c r="D23" s="350"/>
      <c r="E23" s="390"/>
      <c r="F23" s="391"/>
      <c r="G23" s="391"/>
      <c r="H23" s="391"/>
      <c r="I23" s="391"/>
      <c r="J23" s="53" t="str">
        <f>IF(AND('Mapa final'!$Y$52="Alta",'Mapa final'!$AA$52="Leve"),CONCATENATE("R8C",'Mapa final'!$O$52),"")</f>
        <v/>
      </c>
      <c r="K23" s="54" t="str">
        <f>IF(AND('Mapa final'!$Y$53="Alta",'Mapa final'!$AA$53="Leve"),CONCATENATE("R8C",'Mapa final'!$O$53),"")</f>
        <v/>
      </c>
      <c r="L23" s="54" t="str">
        <f>IF(AND('Mapa final'!$Y$54="Alta",'Mapa final'!$AA$54="Leve"),CONCATENATE("R8C",'Mapa final'!$O$54),"")</f>
        <v/>
      </c>
      <c r="M23" s="54" t="str">
        <f>IF(AND('Mapa final'!$Y$55="Alta",'Mapa final'!$AA$55="Leve"),CONCATENATE("R8C",'Mapa final'!$O$55),"")</f>
        <v/>
      </c>
      <c r="N23" s="54" t="str">
        <f>IF(AND('Mapa final'!$Y$56="Alta",'Mapa final'!$AA$56="Leve"),CONCATENATE("R8C",'Mapa final'!$O$56),"")</f>
        <v/>
      </c>
      <c r="O23" s="55" t="str">
        <f>IF(AND('Mapa final'!$Y$57="Alta",'Mapa final'!$AA$57="Leve"),CONCATENATE("R8C",'Mapa final'!$O$57),"")</f>
        <v/>
      </c>
      <c r="P23" s="53" t="str">
        <f>IF(AND('Mapa final'!$Y$52="Alta",'Mapa final'!$AA$52="Menor"),CONCATENATE("R8C",'Mapa final'!$O$52),"")</f>
        <v/>
      </c>
      <c r="Q23" s="54" t="str">
        <f>IF(AND('Mapa final'!$Y$53="Alta",'Mapa final'!$AA$53="Menor"),CONCATENATE("R8C",'Mapa final'!$O$53),"")</f>
        <v/>
      </c>
      <c r="R23" s="54" t="str">
        <f>IF(AND('Mapa final'!$Y$54="Alta",'Mapa final'!$AA$54="Menor"),CONCATENATE("R8C",'Mapa final'!$O$54),"")</f>
        <v/>
      </c>
      <c r="S23" s="54" t="str">
        <f>IF(AND('Mapa final'!$Y$55="Alta",'Mapa final'!$AA$55="Menor"),CONCATENATE("R8C",'Mapa final'!$O$55),"")</f>
        <v/>
      </c>
      <c r="T23" s="54" t="str">
        <f>IF(AND('Mapa final'!$Y$56="Alta",'Mapa final'!$AA$56="Menor"),CONCATENATE("R8C",'Mapa final'!$O$56),"")</f>
        <v/>
      </c>
      <c r="U23" s="55" t="str">
        <f>IF(AND('Mapa final'!$Y$57="Alta",'Mapa final'!$AA$57="Menor"),CONCATENATE("R8C",'Mapa final'!$O$57),"")</f>
        <v/>
      </c>
      <c r="V23" s="38" t="str">
        <f>IF(AND('Mapa final'!$Y$52="Alta",'Mapa final'!$AA$52="Moderado"),CONCATENATE("R8C",'Mapa final'!$O$52),"")</f>
        <v/>
      </c>
      <c r="W23" s="39" t="str">
        <f>IF(AND('Mapa final'!$Y$53="Alta",'Mapa final'!$AA$53="Moderado"),CONCATENATE("R8C",'Mapa final'!$O$53),"")</f>
        <v/>
      </c>
      <c r="X23" s="39" t="str">
        <f>IF(AND('Mapa final'!$Y$54="Alta",'Mapa final'!$AA$54="Moderado"),CONCATENATE("R8C",'Mapa final'!$O$54),"")</f>
        <v/>
      </c>
      <c r="Y23" s="39" t="str">
        <f>IF(AND('Mapa final'!$Y$55="Alta",'Mapa final'!$AA$55="Moderado"),CONCATENATE("R8C",'Mapa final'!$O$55),"")</f>
        <v/>
      </c>
      <c r="Z23" s="39" t="str">
        <f>IF(AND('Mapa final'!$Y$56="Alta",'Mapa final'!$AA$56="Moderado"),CONCATENATE("R8C",'Mapa final'!$O$56),"")</f>
        <v/>
      </c>
      <c r="AA23" s="40" t="str">
        <f>IF(AND('Mapa final'!$Y$57="Alta",'Mapa final'!$AA$57="Moderado"),CONCATENATE("R8C",'Mapa final'!$O$57),"")</f>
        <v/>
      </c>
      <c r="AB23" s="38" t="str">
        <f>IF(AND('Mapa final'!$Y$52="Alta",'Mapa final'!$AA$52="Mayor"),CONCATENATE("R8C",'Mapa final'!$O$52),"")</f>
        <v/>
      </c>
      <c r="AC23" s="39" t="str">
        <f>IF(AND('Mapa final'!$Y$53="Alta",'Mapa final'!$AA$53="Mayor"),CONCATENATE("R8C",'Mapa final'!$O$53),"")</f>
        <v/>
      </c>
      <c r="AD23" s="39" t="str">
        <f>IF(AND('Mapa final'!$Y$54="Alta",'Mapa final'!$AA$54="Mayor"),CONCATENATE("R8C",'Mapa final'!$O$54),"")</f>
        <v/>
      </c>
      <c r="AE23" s="39" t="str">
        <f>IF(AND('Mapa final'!$Y$55="Alta",'Mapa final'!$AA$55="Mayor"),CONCATENATE("R8C",'Mapa final'!$O$55),"")</f>
        <v/>
      </c>
      <c r="AF23" s="39" t="str">
        <f>IF(AND('Mapa final'!$Y$56="Alta",'Mapa final'!$AA$56="Mayor"),CONCATENATE("R8C",'Mapa final'!$O$56),"")</f>
        <v/>
      </c>
      <c r="AG23" s="40" t="str">
        <f>IF(AND('Mapa final'!$Y$57="Alta",'Mapa final'!$AA$57="Mayor"),CONCATENATE("R8C",'Mapa final'!$O$57),"")</f>
        <v/>
      </c>
      <c r="AH23" s="41" t="str">
        <f>IF(AND('Mapa final'!$Y$52="Alta",'Mapa final'!$AA$52="Catastrófico"),CONCATENATE("R8C",'Mapa final'!$O$52),"")</f>
        <v/>
      </c>
      <c r="AI23" s="42" t="str">
        <f>IF(AND('Mapa final'!$Y$53="Alta",'Mapa final'!$AA$53="Catastrófico"),CONCATENATE("R8C",'Mapa final'!$O$53),"")</f>
        <v/>
      </c>
      <c r="AJ23" s="42" t="str">
        <f>IF(AND('Mapa final'!$Y$54="Alta",'Mapa final'!$AA$54="Catastrófico"),CONCATENATE("R8C",'Mapa final'!$O$54),"")</f>
        <v/>
      </c>
      <c r="AK23" s="42" t="str">
        <f>IF(AND('Mapa final'!$Y$55="Alta",'Mapa final'!$AA$55="Catastrófico"),CONCATENATE("R8C",'Mapa final'!$O$55),"")</f>
        <v/>
      </c>
      <c r="AL23" s="42" t="str">
        <f>IF(AND('Mapa final'!$Y$56="Alta",'Mapa final'!$AA$56="Catastrófico"),CONCATENATE("R8C",'Mapa final'!$O$56),"")</f>
        <v/>
      </c>
      <c r="AM23" s="43" t="str">
        <f>IF(AND('Mapa final'!$Y$57="Alta",'Mapa final'!$AA$57="Catastrófico"),CONCATENATE("R8C",'Mapa final'!$O$57),"")</f>
        <v/>
      </c>
      <c r="AN23" s="69"/>
      <c r="AO23" s="400"/>
      <c r="AP23" s="401"/>
      <c r="AQ23" s="401"/>
      <c r="AR23" s="401"/>
      <c r="AS23" s="401"/>
      <c r="AT23" s="402"/>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349"/>
      <c r="C24" s="349"/>
      <c r="D24" s="350"/>
      <c r="E24" s="390"/>
      <c r="F24" s="391"/>
      <c r="G24" s="391"/>
      <c r="H24" s="391"/>
      <c r="I24" s="391"/>
      <c r="J24" s="53" t="str">
        <f>IF(AND('Mapa final'!$Y$58="Alta",'Mapa final'!$AA$58="Leve"),CONCATENATE("R9C",'Mapa final'!$O$58),"")</f>
        <v/>
      </c>
      <c r="K24" s="54" t="str">
        <f>IF(AND('Mapa final'!$Y$59="Alta",'Mapa final'!$AA$59="Leve"),CONCATENATE("R9C",'Mapa final'!$O$59),"")</f>
        <v/>
      </c>
      <c r="L24" s="54" t="str">
        <f>IF(AND('Mapa final'!$Y$60="Alta",'Mapa final'!$AA$60="Leve"),CONCATENATE("R9C",'Mapa final'!$O$60),"")</f>
        <v/>
      </c>
      <c r="M24" s="54" t="str">
        <f>IF(AND('Mapa final'!$Y$61="Alta",'Mapa final'!$AA$61="Leve"),CONCATENATE("R9C",'Mapa final'!$O$61),"")</f>
        <v/>
      </c>
      <c r="N24" s="54" t="str">
        <f>IF(AND('Mapa final'!$Y$62="Alta",'Mapa final'!$AA$62="Leve"),CONCATENATE("R9C",'Mapa final'!$O$62),"")</f>
        <v/>
      </c>
      <c r="O24" s="55" t="str">
        <f>IF(AND('Mapa final'!$Y$63="Alta",'Mapa final'!$AA$63="Leve"),CONCATENATE("R9C",'Mapa final'!$O$63),"")</f>
        <v/>
      </c>
      <c r="P24" s="53" t="str">
        <f>IF(AND('Mapa final'!$Y$58="Alta",'Mapa final'!$AA$58="Menor"),CONCATENATE("R9C",'Mapa final'!$O$58),"")</f>
        <v/>
      </c>
      <c r="Q24" s="54" t="str">
        <f>IF(AND('Mapa final'!$Y$59="Alta",'Mapa final'!$AA$59="Menor"),CONCATENATE("R9C",'Mapa final'!$O$59),"")</f>
        <v/>
      </c>
      <c r="R24" s="54" t="str">
        <f>IF(AND('Mapa final'!$Y$60="Alta",'Mapa final'!$AA$60="Menor"),CONCATENATE("R9C",'Mapa final'!$O$60),"")</f>
        <v/>
      </c>
      <c r="S24" s="54" t="str">
        <f>IF(AND('Mapa final'!$Y$61="Alta",'Mapa final'!$AA$61="Menor"),CONCATENATE("R9C",'Mapa final'!$O$61),"")</f>
        <v/>
      </c>
      <c r="T24" s="54" t="str">
        <f>IF(AND('Mapa final'!$Y$62="Alta",'Mapa final'!$AA$62="Menor"),CONCATENATE("R9C",'Mapa final'!$O$62),"")</f>
        <v/>
      </c>
      <c r="U24" s="55" t="str">
        <f>IF(AND('Mapa final'!$Y$63="Alta",'Mapa final'!$AA$63="Menor"),CONCATENATE("R9C",'Mapa final'!$O$63),"")</f>
        <v/>
      </c>
      <c r="V24" s="38" t="str">
        <f>IF(AND('Mapa final'!$Y$58="Alta",'Mapa final'!$AA$58="Moderado"),CONCATENATE("R9C",'Mapa final'!$O$58),"")</f>
        <v/>
      </c>
      <c r="W24" s="39" t="str">
        <f>IF(AND('Mapa final'!$Y$59="Alta",'Mapa final'!$AA$59="Moderado"),CONCATENATE("R9C",'Mapa final'!$O$59),"")</f>
        <v/>
      </c>
      <c r="X24" s="39" t="str">
        <f>IF(AND('Mapa final'!$Y$60="Alta",'Mapa final'!$AA$60="Moderado"),CONCATENATE("R9C",'Mapa final'!$O$60),"")</f>
        <v/>
      </c>
      <c r="Y24" s="39" t="str">
        <f>IF(AND('Mapa final'!$Y$61="Alta",'Mapa final'!$AA$61="Moderado"),CONCATENATE("R9C",'Mapa final'!$O$61),"")</f>
        <v/>
      </c>
      <c r="Z24" s="39" t="str">
        <f>IF(AND('Mapa final'!$Y$62="Alta",'Mapa final'!$AA$62="Moderado"),CONCATENATE("R9C",'Mapa final'!$O$62),"")</f>
        <v/>
      </c>
      <c r="AA24" s="40" t="str">
        <f>IF(AND('Mapa final'!$Y$63="Alta",'Mapa final'!$AA$63="Moderado"),CONCATENATE("R9C",'Mapa final'!$O$63),"")</f>
        <v/>
      </c>
      <c r="AB24" s="38" t="str">
        <f>IF(AND('Mapa final'!$Y$58="Alta",'Mapa final'!$AA$58="Mayor"),CONCATENATE("R9C",'Mapa final'!$O$58),"")</f>
        <v/>
      </c>
      <c r="AC24" s="39" t="str">
        <f>IF(AND('Mapa final'!$Y$59="Alta",'Mapa final'!$AA$59="Mayor"),CONCATENATE("R9C",'Mapa final'!$O$59),"")</f>
        <v/>
      </c>
      <c r="AD24" s="39" t="str">
        <f>IF(AND('Mapa final'!$Y$60="Alta",'Mapa final'!$AA$60="Mayor"),CONCATENATE("R9C",'Mapa final'!$O$60),"")</f>
        <v/>
      </c>
      <c r="AE24" s="39" t="str">
        <f>IF(AND('Mapa final'!$Y$61="Alta",'Mapa final'!$AA$61="Mayor"),CONCATENATE("R9C",'Mapa final'!$O$61),"")</f>
        <v/>
      </c>
      <c r="AF24" s="39" t="str">
        <f>IF(AND('Mapa final'!$Y$62="Alta",'Mapa final'!$AA$62="Mayor"),CONCATENATE("R9C",'Mapa final'!$O$62),"")</f>
        <v/>
      </c>
      <c r="AG24" s="40" t="str">
        <f>IF(AND('Mapa final'!$Y$63="Alta",'Mapa final'!$AA$63="Mayor"),CONCATENATE("R9C",'Mapa final'!$O$63),"")</f>
        <v/>
      </c>
      <c r="AH24" s="41" t="str">
        <f>IF(AND('Mapa final'!$Y$58="Alta",'Mapa final'!$AA$58="Catastrófico"),CONCATENATE("R9C",'Mapa final'!$O$58),"")</f>
        <v/>
      </c>
      <c r="AI24" s="42" t="str">
        <f>IF(AND('Mapa final'!$Y$59="Alta",'Mapa final'!$AA$59="Catastrófico"),CONCATENATE("R9C",'Mapa final'!$O$59),"")</f>
        <v/>
      </c>
      <c r="AJ24" s="42" t="str">
        <f>IF(AND('Mapa final'!$Y$60="Alta",'Mapa final'!$AA$60="Catastrófico"),CONCATENATE("R9C",'Mapa final'!$O$60),"")</f>
        <v/>
      </c>
      <c r="AK24" s="42" t="str">
        <f>IF(AND('Mapa final'!$Y$61="Alta",'Mapa final'!$AA$61="Catastrófico"),CONCATENATE("R9C",'Mapa final'!$O$61),"")</f>
        <v/>
      </c>
      <c r="AL24" s="42" t="str">
        <f>IF(AND('Mapa final'!$Y$62="Alta",'Mapa final'!$AA$62="Catastrófico"),CONCATENATE("R9C",'Mapa final'!$O$62),"")</f>
        <v/>
      </c>
      <c r="AM24" s="43" t="str">
        <f>IF(AND('Mapa final'!$Y$63="Alta",'Mapa final'!$AA$63="Catastrófico"),CONCATENATE("R9C",'Mapa final'!$O$63),"")</f>
        <v/>
      </c>
      <c r="AN24" s="69"/>
      <c r="AO24" s="400"/>
      <c r="AP24" s="401"/>
      <c r="AQ24" s="401"/>
      <c r="AR24" s="401"/>
      <c r="AS24" s="401"/>
      <c r="AT24" s="402"/>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349"/>
      <c r="C25" s="349"/>
      <c r="D25" s="350"/>
      <c r="E25" s="393"/>
      <c r="F25" s="394"/>
      <c r="G25" s="394"/>
      <c r="H25" s="394"/>
      <c r="I25" s="394"/>
      <c r="J25" s="56" t="str">
        <f>IF(AND('Mapa final'!$Y$64="Alta",'Mapa final'!$AA$64="Leve"),CONCATENATE("R10C",'Mapa final'!$O$64),"")</f>
        <v/>
      </c>
      <c r="K25" s="57" t="str">
        <f>IF(AND('Mapa final'!$Y$65="Alta",'Mapa final'!$AA$65="Leve"),CONCATENATE("R10C",'Mapa final'!$O$65),"")</f>
        <v/>
      </c>
      <c r="L25" s="57" t="str">
        <f>IF(AND('Mapa final'!$Y$66="Alta",'Mapa final'!$AA$66="Leve"),CONCATENATE("R10C",'Mapa final'!$O$66),"")</f>
        <v/>
      </c>
      <c r="M25" s="57" t="str">
        <f>IF(AND('Mapa final'!$Y$67="Alta",'Mapa final'!$AA$67="Leve"),CONCATENATE("R10C",'Mapa final'!$O$67),"")</f>
        <v/>
      </c>
      <c r="N25" s="57" t="str">
        <f>IF(AND('Mapa final'!$Y$68="Alta",'Mapa final'!$AA$68="Leve"),CONCATENATE("R10C",'Mapa final'!$O$68),"")</f>
        <v/>
      </c>
      <c r="O25" s="58" t="str">
        <f>IF(AND('Mapa final'!$Y$69="Alta",'Mapa final'!$AA$69="Leve"),CONCATENATE("R10C",'Mapa final'!$O$69),"")</f>
        <v/>
      </c>
      <c r="P25" s="56" t="str">
        <f>IF(AND('Mapa final'!$Y$64="Alta",'Mapa final'!$AA$64="Menor"),CONCATENATE("R10C",'Mapa final'!$O$64),"")</f>
        <v/>
      </c>
      <c r="Q25" s="57" t="str">
        <f>IF(AND('Mapa final'!$Y$65="Alta",'Mapa final'!$AA$65="Menor"),CONCATENATE("R10C",'Mapa final'!$O$65),"")</f>
        <v/>
      </c>
      <c r="R25" s="57" t="str">
        <f>IF(AND('Mapa final'!$Y$66="Alta",'Mapa final'!$AA$66="Menor"),CONCATENATE("R10C",'Mapa final'!$O$66),"")</f>
        <v/>
      </c>
      <c r="S25" s="57" t="str">
        <f>IF(AND('Mapa final'!$Y$67="Alta",'Mapa final'!$AA$67="Menor"),CONCATENATE("R10C",'Mapa final'!$O$67),"")</f>
        <v/>
      </c>
      <c r="T25" s="57" t="str">
        <f>IF(AND('Mapa final'!$Y$68="Alta",'Mapa final'!$AA$68="Menor"),CONCATENATE("R10C",'Mapa final'!$O$68),"")</f>
        <v/>
      </c>
      <c r="U25" s="58" t="str">
        <f>IF(AND('Mapa final'!$Y$69="Alta",'Mapa final'!$AA$69="Menor"),CONCATENATE("R10C",'Mapa final'!$O$69),"")</f>
        <v/>
      </c>
      <c r="V25" s="44" t="str">
        <f>IF(AND('Mapa final'!$Y$64="Alta",'Mapa final'!$AA$64="Moderado"),CONCATENATE("R10C",'Mapa final'!$O$64),"")</f>
        <v/>
      </c>
      <c r="W25" s="45" t="str">
        <f>IF(AND('Mapa final'!$Y$65="Alta",'Mapa final'!$AA$65="Moderado"),CONCATENATE("R10C",'Mapa final'!$O$65),"")</f>
        <v/>
      </c>
      <c r="X25" s="45" t="str">
        <f>IF(AND('Mapa final'!$Y$66="Alta",'Mapa final'!$AA$66="Moderado"),CONCATENATE("R10C",'Mapa final'!$O$66),"")</f>
        <v/>
      </c>
      <c r="Y25" s="45" t="str">
        <f>IF(AND('Mapa final'!$Y$67="Alta",'Mapa final'!$AA$67="Moderado"),CONCATENATE("R10C",'Mapa final'!$O$67),"")</f>
        <v/>
      </c>
      <c r="Z25" s="45" t="str">
        <f>IF(AND('Mapa final'!$Y$68="Alta",'Mapa final'!$AA$68="Moderado"),CONCATENATE("R10C",'Mapa final'!$O$68),"")</f>
        <v/>
      </c>
      <c r="AA25" s="46" t="str">
        <f>IF(AND('Mapa final'!$Y$69="Alta",'Mapa final'!$AA$69="Moderado"),CONCATENATE("R10C",'Mapa final'!$O$69),"")</f>
        <v/>
      </c>
      <c r="AB25" s="44" t="str">
        <f>IF(AND('Mapa final'!$Y$64="Alta",'Mapa final'!$AA$64="Mayor"),CONCATENATE("R10C",'Mapa final'!$O$64),"")</f>
        <v/>
      </c>
      <c r="AC25" s="45" t="str">
        <f>IF(AND('Mapa final'!$Y$65="Alta",'Mapa final'!$AA$65="Mayor"),CONCATENATE("R10C",'Mapa final'!$O$65),"")</f>
        <v/>
      </c>
      <c r="AD25" s="45" t="str">
        <f>IF(AND('Mapa final'!$Y$66="Alta",'Mapa final'!$AA$66="Mayor"),CONCATENATE("R10C",'Mapa final'!$O$66),"")</f>
        <v/>
      </c>
      <c r="AE25" s="45" t="str">
        <f>IF(AND('Mapa final'!$Y$67="Alta",'Mapa final'!$AA$67="Mayor"),CONCATENATE("R10C",'Mapa final'!$O$67),"")</f>
        <v/>
      </c>
      <c r="AF25" s="45" t="str">
        <f>IF(AND('Mapa final'!$Y$68="Alta",'Mapa final'!$AA$68="Mayor"),CONCATENATE("R10C",'Mapa final'!$O$68),"")</f>
        <v/>
      </c>
      <c r="AG25" s="46" t="str">
        <f>IF(AND('Mapa final'!$Y$69="Alta",'Mapa final'!$AA$69="Mayor"),CONCATENATE("R10C",'Mapa final'!$O$69),"")</f>
        <v/>
      </c>
      <c r="AH25" s="47" t="str">
        <f>IF(AND('Mapa final'!$Y$64="Alta",'Mapa final'!$AA$64="Catastrófico"),CONCATENATE("R10C",'Mapa final'!$O$64),"")</f>
        <v/>
      </c>
      <c r="AI25" s="48" t="str">
        <f>IF(AND('Mapa final'!$Y$65="Alta",'Mapa final'!$AA$65="Catastrófico"),CONCATENATE("R10C",'Mapa final'!$O$65),"")</f>
        <v/>
      </c>
      <c r="AJ25" s="48" t="str">
        <f>IF(AND('Mapa final'!$Y$66="Alta",'Mapa final'!$AA$66="Catastrófico"),CONCATENATE("R10C",'Mapa final'!$O$66),"")</f>
        <v/>
      </c>
      <c r="AK25" s="48" t="str">
        <f>IF(AND('Mapa final'!$Y$67="Alta",'Mapa final'!$AA$67="Catastrófico"),CONCATENATE("R10C",'Mapa final'!$O$67),"")</f>
        <v/>
      </c>
      <c r="AL25" s="48" t="str">
        <f>IF(AND('Mapa final'!$Y$68="Alta",'Mapa final'!$AA$68="Catastrófico"),CONCATENATE("R10C",'Mapa final'!$O$68),"")</f>
        <v/>
      </c>
      <c r="AM25" s="49" t="str">
        <f>IF(AND('Mapa final'!$Y$69="Alta",'Mapa final'!$AA$69="Catastrófico"),CONCATENATE("R10C",'Mapa final'!$O$69),"")</f>
        <v/>
      </c>
      <c r="AN25" s="69"/>
      <c r="AO25" s="403"/>
      <c r="AP25" s="404"/>
      <c r="AQ25" s="404"/>
      <c r="AR25" s="404"/>
      <c r="AS25" s="404"/>
      <c r="AT25" s="405"/>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349"/>
      <c r="C26" s="349"/>
      <c r="D26" s="350"/>
      <c r="E26" s="387" t="s">
        <v>117</v>
      </c>
      <c r="F26" s="388"/>
      <c r="G26" s="388"/>
      <c r="H26" s="388"/>
      <c r="I26" s="389"/>
      <c r="J26" s="50" t="str">
        <f>IF(AND('Mapa final'!$Y$10="Media",'Mapa final'!$AA$10="Leve"),CONCATENATE("R1C",'Mapa final'!$O$10),"")</f>
        <v/>
      </c>
      <c r="K26" s="51" t="str">
        <f>IF(AND('Mapa final'!$Y$11="Media",'Mapa final'!$AA$11="Leve"),CONCATENATE("R1C",'Mapa final'!$O$11),"")</f>
        <v/>
      </c>
      <c r="L26" s="51" t="str">
        <f>IF(AND('Mapa final'!$Y$12="Media",'Mapa final'!$AA$12="Leve"),CONCATENATE("R1C",'Mapa final'!$O$12),"")</f>
        <v/>
      </c>
      <c r="M26" s="51" t="str">
        <f>IF(AND('Mapa final'!$Y$13="Media",'Mapa final'!$AA$13="Leve"),CONCATENATE("R1C",'Mapa final'!$O$13),"")</f>
        <v/>
      </c>
      <c r="N26" s="51" t="str">
        <f>IF(AND('Mapa final'!$Y$14="Media",'Mapa final'!$AA$14="Leve"),CONCATENATE("R1C",'Mapa final'!$O$14),"")</f>
        <v/>
      </c>
      <c r="O26" s="52" t="str">
        <f>IF(AND('Mapa final'!$Y$15="Media",'Mapa final'!$AA$15="Leve"),CONCATENATE("R1C",'Mapa final'!$O$15),"")</f>
        <v/>
      </c>
      <c r="P26" s="50" t="str">
        <f>IF(AND('Mapa final'!$Y$10="Media",'Mapa final'!$AA$10="Menor"),CONCATENATE("R1C",'Mapa final'!$O$10),"")</f>
        <v/>
      </c>
      <c r="Q26" s="51" t="str">
        <f>IF(AND('Mapa final'!$Y$11="Media",'Mapa final'!$AA$11="Menor"),CONCATENATE("R1C",'Mapa final'!$O$11),"")</f>
        <v/>
      </c>
      <c r="R26" s="51" t="str">
        <f>IF(AND('Mapa final'!$Y$12="Media",'Mapa final'!$AA$12="Menor"),CONCATENATE("R1C",'Mapa final'!$O$12),"")</f>
        <v/>
      </c>
      <c r="S26" s="51" t="str">
        <f>IF(AND('Mapa final'!$Y$13="Media",'Mapa final'!$AA$13="Menor"),CONCATENATE("R1C",'Mapa final'!$O$13),"")</f>
        <v/>
      </c>
      <c r="T26" s="51" t="str">
        <f>IF(AND('Mapa final'!$Y$14="Media",'Mapa final'!$AA$14="Menor"),CONCATENATE("R1C",'Mapa final'!$O$14),"")</f>
        <v/>
      </c>
      <c r="U26" s="52" t="str">
        <f>IF(AND('Mapa final'!$Y$15="Media",'Mapa final'!$AA$15="Menor"),CONCATENATE("R1C",'Mapa final'!$O$15),"")</f>
        <v/>
      </c>
      <c r="V26" s="50" t="str">
        <f>IF(AND('Mapa final'!$Y$10="Media",'Mapa final'!$AA$10="Moderado"),CONCATENATE("R1C",'Mapa final'!$O$10),"")</f>
        <v/>
      </c>
      <c r="W26" s="51" t="str">
        <f>IF(AND('Mapa final'!$Y$11="Media",'Mapa final'!$AA$11="Moderado"),CONCATENATE("R1C",'Mapa final'!$O$11),"")</f>
        <v/>
      </c>
      <c r="X26" s="51" t="str">
        <f>IF(AND('Mapa final'!$Y$12="Media",'Mapa final'!$AA$12="Moderado"),CONCATENATE("R1C",'Mapa final'!$O$12),"")</f>
        <v/>
      </c>
      <c r="Y26" s="51" t="str">
        <f>IF(AND('Mapa final'!$Y$13="Media",'Mapa final'!$AA$13="Moderado"),CONCATENATE("R1C",'Mapa final'!$O$13),"")</f>
        <v/>
      </c>
      <c r="Z26" s="51" t="str">
        <f>IF(AND('Mapa final'!$Y$14="Media",'Mapa final'!$AA$14="Moderado"),CONCATENATE("R1C",'Mapa final'!$O$14),"")</f>
        <v/>
      </c>
      <c r="AA26" s="52" t="str">
        <f>IF(AND('Mapa final'!$Y$15="Media",'Mapa final'!$AA$15="Moderado"),CONCATENATE("R1C",'Mapa final'!$O$15),"")</f>
        <v/>
      </c>
      <c r="AB26" s="32" t="str">
        <f>IF(AND('Mapa final'!$Y$10="Media",'Mapa final'!$AA$10="Mayor"),CONCATENATE("R1C",'Mapa final'!$O$10),"")</f>
        <v/>
      </c>
      <c r="AC26" s="33" t="str">
        <f>IF(AND('Mapa final'!$Y$11="Media",'Mapa final'!$AA$11="Mayor"),CONCATENATE("R1C",'Mapa final'!$O$11),"")</f>
        <v/>
      </c>
      <c r="AD26" s="33" t="str">
        <f>IF(AND('Mapa final'!$Y$12="Media",'Mapa final'!$AA$12="Mayor"),CONCATENATE("R1C",'Mapa final'!$O$12),"")</f>
        <v/>
      </c>
      <c r="AE26" s="33" t="str">
        <f>IF(AND('Mapa final'!$Y$13="Media",'Mapa final'!$AA$13="Mayor"),CONCATENATE("R1C",'Mapa final'!$O$13),"")</f>
        <v/>
      </c>
      <c r="AF26" s="33" t="str">
        <f>IF(AND('Mapa final'!$Y$14="Media",'Mapa final'!$AA$14="Mayor"),CONCATENATE("R1C",'Mapa final'!$O$14),"")</f>
        <v/>
      </c>
      <c r="AG26" s="34" t="str">
        <f>IF(AND('Mapa final'!$Y$15="Media",'Mapa final'!$AA$15="Mayor"),CONCATENATE("R1C",'Mapa final'!$O$15),"")</f>
        <v/>
      </c>
      <c r="AH26" s="35" t="str">
        <f>IF(AND('Mapa final'!$Y$10="Media",'Mapa final'!$AA$10="Catastrófico"),CONCATENATE("R1C",'Mapa final'!$O$10),"")</f>
        <v/>
      </c>
      <c r="AI26" s="36" t="str">
        <f>IF(AND('Mapa final'!$Y$11="Media",'Mapa final'!$AA$11="Catastrófico"),CONCATENATE("R1C",'Mapa final'!$O$11),"")</f>
        <v/>
      </c>
      <c r="AJ26" s="36" t="str">
        <f>IF(AND('Mapa final'!$Y$12="Media",'Mapa final'!$AA$12="Catastrófico"),CONCATENATE("R1C",'Mapa final'!$O$12),"")</f>
        <v/>
      </c>
      <c r="AK26" s="36" t="str">
        <f>IF(AND('Mapa final'!$Y$13="Media",'Mapa final'!$AA$13="Catastrófico"),CONCATENATE("R1C",'Mapa final'!$O$13),"")</f>
        <v/>
      </c>
      <c r="AL26" s="36" t="str">
        <f>IF(AND('Mapa final'!$Y$14="Media",'Mapa final'!$AA$14="Catastrófico"),CONCATENATE("R1C",'Mapa final'!$O$14),"")</f>
        <v/>
      </c>
      <c r="AM26" s="37" t="str">
        <f>IF(AND('Mapa final'!$Y$15="Media",'Mapa final'!$AA$15="Catastrófico"),CONCATENATE("R1C",'Mapa final'!$O$15),"")</f>
        <v/>
      </c>
      <c r="AN26" s="69"/>
      <c r="AO26" s="427" t="s">
        <v>81</v>
      </c>
      <c r="AP26" s="428"/>
      <c r="AQ26" s="428"/>
      <c r="AR26" s="428"/>
      <c r="AS26" s="428"/>
      <c r="AT26" s="42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349"/>
      <c r="C27" s="349"/>
      <c r="D27" s="350"/>
      <c r="E27" s="406"/>
      <c r="F27" s="391"/>
      <c r="G27" s="391"/>
      <c r="H27" s="391"/>
      <c r="I27" s="392"/>
      <c r="J27" s="53" t="str">
        <f>IF(AND('Mapa final'!$Y$16="Media",'Mapa final'!$AA$16="Leve"),CONCATENATE("R2C",'Mapa final'!$O$16),"")</f>
        <v/>
      </c>
      <c r="K27" s="54" t="str">
        <f>IF(AND('Mapa final'!$Y$17="Media",'Mapa final'!$AA$17="Leve"),CONCATENATE("R2C",'Mapa final'!$O$17),"")</f>
        <v/>
      </c>
      <c r="L27" s="54" t="str">
        <f>IF(AND('Mapa final'!$Y$18="Media",'Mapa final'!$AA$18="Leve"),CONCATENATE("R2C",'Mapa final'!$O$18),"")</f>
        <v/>
      </c>
      <c r="M27" s="54" t="str">
        <f>IF(AND('Mapa final'!$Y$19="Media",'Mapa final'!$AA$19="Leve"),CONCATENATE("R2C",'Mapa final'!$O$19),"")</f>
        <v/>
      </c>
      <c r="N27" s="54" t="str">
        <f>IF(AND('Mapa final'!$Y$20="Media",'Mapa final'!$AA$20="Leve"),CONCATENATE("R2C",'Mapa final'!$O$20),"")</f>
        <v/>
      </c>
      <c r="O27" s="55" t="str">
        <f>IF(AND('Mapa final'!$Y$21="Media",'Mapa final'!$AA$21="Leve"),CONCATENATE("R2C",'Mapa final'!$O$21),"")</f>
        <v/>
      </c>
      <c r="P27" s="53" t="str">
        <f>IF(AND('Mapa final'!$Y$16="Media",'Mapa final'!$AA$16="Menor"),CONCATENATE("R2C",'Mapa final'!$O$16),"")</f>
        <v/>
      </c>
      <c r="Q27" s="54" t="str">
        <f>IF(AND('Mapa final'!$Y$17="Media",'Mapa final'!$AA$17="Menor"),CONCATENATE("R2C",'Mapa final'!$O$17),"")</f>
        <v/>
      </c>
      <c r="R27" s="54" t="str">
        <f>IF(AND('Mapa final'!$Y$18="Media",'Mapa final'!$AA$18="Menor"),CONCATENATE("R2C",'Mapa final'!$O$18),"")</f>
        <v/>
      </c>
      <c r="S27" s="54" t="str">
        <f>IF(AND('Mapa final'!$Y$19="Media",'Mapa final'!$AA$19="Menor"),CONCATENATE("R2C",'Mapa final'!$O$19),"")</f>
        <v/>
      </c>
      <c r="T27" s="54" t="str">
        <f>IF(AND('Mapa final'!$Y$20="Media",'Mapa final'!$AA$20="Menor"),CONCATENATE("R2C",'Mapa final'!$O$20),"")</f>
        <v/>
      </c>
      <c r="U27" s="55" t="str">
        <f>IF(AND('Mapa final'!$Y$21="Media",'Mapa final'!$AA$21="Menor"),CONCATENATE("R2C",'Mapa final'!$O$21),"")</f>
        <v/>
      </c>
      <c r="V27" s="53" t="str">
        <f>IF(AND('Mapa final'!$Y$16="Media",'Mapa final'!$AA$16="Moderado"),CONCATENATE("R2C",'Mapa final'!$O$16),"")</f>
        <v/>
      </c>
      <c r="W27" s="54" t="str">
        <f>IF(AND('Mapa final'!$Y$17="Media",'Mapa final'!$AA$17="Moderado"),CONCATENATE("R2C",'Mapa final'!$O$17),"")</f>
        <v/>
      </c>
      <c r="X27" s="54" t="str">
        <f>IF(AND('Mapa final'!$Y$18="Media",'Mapa final'!$AA$18="Moderado"),CONCATENATE("R2C",'Mapa final'!$O$18),"")</f>
        <v/>
      </c>
      <c r="Y27" s="54" t="str">
        <f>IF(AND('Mapa final'!$Y$19="Media",'Mapa final'!$AA$19="Moderado"),CONCATENATE("R2C",'Mapa final'!$O$19),"")</f>
        <v/>
      </c>
      <c r="Z27" s="54" t="str">
        <f>IF(AND('Mapa final'!$Y$20="Media",'Mapa final'!$AA$20="Moderado"),CONCATENATE("R2C",'Mapa final'!$O$20),"")</f>
        <v/>
      </c>
      <c r="AA27" s="55" t="str">
        <f>IF(AND('Mapa final'!$Y$21="Media",'Mapa final'!$AA$21="Moderado"),CONCATENATE("R2C",'Mapa final'!$O$21),"")</f>
        <v/>
      </c>
      <c r="AB27" s="38" t="str">
        <f>IF(AND('Mapa final'!$Y$16="Media",'Mapa final'!$AA$16="Mayor"),CONCATENATE("R2C",'Mapa final'!$O$16),"")</f>
        <v/>
      </c>
      <c r="AC27" s="39" t="str">
        <f>IF(AND('Mapa final'!$Y$17="Media",'Mapa final'!$AA$17="Mayor"),CONCATENATE("R2C",'Mapa final'!$O$17),"")</f>
        <v/>
      </c>
      <c r="AD27" s="39" t="str">
        <f>IF(AND('Mapa final'!$Y$18="Media",'Mapa final'!$AA$18="Mayor"),CONCATENATE("R2C",'Mapa final'!$O$18),"")</f>
        <v/>
      </c>
      <c r="AE27" s="39" t="str">
        <f>IF(AND('Mapa final'!$Y$19="Media",'Mapa final'!$AA$19="Mayor"),CONCATENATE("R2C",'Mapa final'!$O$19),"")</f>
        <v/>
      </c>
      <c r="AF27" s="39" t="str">
        <f>IF(AND('Mapa final'!$Y$20="Media",'Mapa final'!$AA$20="Mayor"),CONCATENATE("R2C",'Mapa final'!$O$20),"")</f>
        <v/>
      </c>
      <c r="AG27" s="40" t="str">
        <f>IF(AND('Mapa final'!$Y$21="Media",'Mapa final'!$AA$21="Mayor"),CONCATENATE("R2C",'Mapa final'!$O$21),"")</f>
        <v/>
      </c>
      <c r="AH27" s="41" t="str">
        <f>IF(AND('Mapa final'!$Y$16="Media",'Mapa final'!$AA$16="Catastrófico"),CONCATENATE("R2C",'Mapa final'!$O$16),"")</f>
        <v/>
      </c>
      <c r="AI27" s="42" t="str">
        <f>IF(AND('Mapa final'!$Y$17="Media",'Mapa final'!$AA$17="Catastrófico"),CONCATENATE("R2C",'Mapa final'!$O$17),"")</f>
        <v/>
      </c>
      <c r="AJ27" s="42" t="str">
        <f>IF(AND('Mapa final'!$Y$18="Media",'Mapa final'!$AA$18="Catastrófico"),CONCATENATE("R2C",'Mapa final'!$O$18),"")</f>
        <v/>
      </c>
      <c r="AK27" s="42" t="str">
        <f>IF(AND('Mapa final'!$Y$19="Media",'Mapa final'!$AA$19="Catastrófico"),CONCATENATE("R2C",'Mapa final'!$O$19),"")</f>
        <v/>
      </c>
      <c r="AL27" s="42" t="str">
        <f>IF(AND('Mapa final'!$Y$20="Media",'Mapa final'!$AA$20="Catastrófico"),CONCATENATE("R2C",'Mapa final'!$O$20),"")</f>
        <v/>
      </c>
      <c r="AM27" s="43" t="str">
        <f>IF(AND('Mapa final'!$Y$21="Media",'Mapa final'!$AA$21="Catastrófico"),CONCATENATE("R2C",'Mapa final'!$O$21),"")</f>
        <v/>
      </c>
      <c r="AN27" s="69"/>
      <c r="AO27" s="430"/>
      <c r="AP27" s="431"/>
      <c r="AQ27" s="431"/>
      <c r="AR27" s="431"/>
      <c r="AS27" s="431"/>
      <c r="AT27" s="432"/>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349"/>
      <c r="C28" s="349"/>
      <c r="D28" s="350"/>
      <c r="E28" s="390"/>
      <c r="F28" s="391"/>
      <c r="G28" s="391"/>
      <c r="H28" s="391"/>
      <c r="I28" s="392"/>
      <c r="J28" s="53" t="str">
        <f>IF(AND('Mapa final'!$Y$22="Media",'Mapa final'!$AA$22="Leve"),CONCATENATE("R3C",'Mapa final'!$O$22),"")</f>
        <v/>
      </c>
      <c r="K28" s="54" t="str">
        <f>IF(AND('Mapa final'!$Y$23="Media",'Mapa final'!$AA$23="Leve"),CONCATENATE("R3C",'Mapa final'!$O$23),"")</f>
        <v/>
      </c>
      <c r="L28" s="54" t="str">
        <f>IF(AND('Mapa final'!$Y$24="Media",'Mapa final'!$AA$24="Leve"),CONCATENATE("R3C",'Mapa final'!$O$24),"")</f>
        <v/>
      </c>
      <c r="M28" s="54" t="str">
        <f>IF(AND('Mapa final'!$Y$25="Media",'Mapa final'!$AA$25="Leve"),CONCATENATE("R3C",'Mapa final'!$O$25),"")</f>
        <v/>
      </c>
      <c r="N28" s="54" t="str">
        <f>IF(AND('Mapa final'!$Y$26="Media",'Mapa final'!$AA$26="Leve"),CONCATENATE("R3C",'Mapa final'!$O$26),"")</f>
        <v/>
      </c>
      <c r="O28" s="55" t="str">
        <f>IF(AND('Mapa final'!$Y$27="Media",'Mapa final'!$AA$27="Leve"),CONCATENATE("R3C",'Mapa final'!$O$27),"")</f>
        <v/>
      </c>
      <c r="P28" s="53" t="str">
        <f>IF(AND('Mapa final'!$Y$22="Media",'Mapa final'!$AA$22="Menor"),CONCATENATE("R3C",'Mapa final'!$O$22),"")</f>
        <v/>
      </c>
      <c r="Q28" s="54" t="str">
        <f>IF(AND('Mapa final'!$Y$23="Media",'Mapa final'!$AA$23="Menor"),CONCATENATE("R3C",'Mapa final'!$O$23),"")</f>
        <v/>
      </c>
      <c r="R28" s="54" t="str">
        <f>IF(AND('Mapa final'!$Y$24="Media",'Mapa final'!$AA$24="Menor"),CONCATENATE("R3C",'Mapa final'!$O$24),"")</f>
        <v/>
      </c>
      <c r="S28" s="54" t="str">
        <f>IF(AND('Mapa final'!$Y$25="Media",'Mapa final'!$AA$25="Menor"),CONCATENATE("R3C",'Mapa final'!$O$25),"")</f>
        <v/>
      </c>
      <c r="T28" s="54" t="str">
        <f>IF(AND('Mapa final'!$Y$26="Media",'Mapa final'!$AA$26="Menor"),CONCATENATE("R3C",'Mapa final'!$O$26),"")</f>
        <v/>
      </c>
      <c r="U28" s="55" t="str">
        <f>IF(AND('Mapa final'!$Y$27="Media",'Mapa final'!$AA$27="Menor"),CONCATENATE("R3C",'Mapa final'!$O$27),"")</f>
        <v/>
      </c>
      <c r="V28" s="53" t="str">
        <f>IF(AND('Mapa final'!$Y$22="Media",'Mapa final'!$AA$22="Moderado"),CONCATENATE("R3C",'Mapa final'!$O$22),"")</f>
        <v/>
      </c>
      <c r="W28" s="54" t="str">
        <f>IF(AND('Mapa final'!$Y$23="Media",'Mapa final'!$AA$23="Moderado"),CONCATENATE("R3C",'Mapa final'!$O$23),"")</f>
        <v/>
      </c>
      <c r="X28" s="54" t="str">
        <f>IF(AND('Mapa final'!$Y$24="Media",'Mapa final'!$AA$24="Moderado"),CONCATENATE("R3C",'Mapa final'!$O$24),"")</f>
        <v/>
      </c>
      <c r="Y28" s="54" t="str">
        <f>IF(AND('Mapa final'!$Y$25="Media",'Mapa final'!$AA$25="Moderado"),CONCATENATE("R3C",'Mapa final'!$O$25),"")</f>
        <v/>
      </c>
      <c r="Z28" s="54" t="str">
        <f>IF(AND('Mapa final'!$Y$26="Media",'Mapa final'!$AA$26="Moderado"),CONCATENATE("R3C",'Mapa final'!$O$26),"")</f>
        <v/>
      </c>
      <c r="AA28" s="55" t="str">
        <f>IF(AND('Mapa final'!$Y$27="Media",'Mapa final'!$AA$27="Moderado"),CONCATENATE("R3C",'Mapa final'!$O$27),"")</f>
        <v/>
      </c>
      <c r="AB28" s="38" t="str">
        <f>IF(AND('Mapa final'!$Y$22="Media",'Mapa final'!$AA$22="Mayor"),CONCATENATE("R3C",'Mapa final'!$O$22),"")</f>
        <v/>
      </c>
      <c r="AC28" s="39" t="str">
        <f>IF(AND('Mapa final'!$Y$23="Media",'Mapa final'!$AA$23="Mayor"),CONCATENATE("R3C",'Mapa final'!$O$23),"")</f>
        <v/>
      </c>
      <c r="AD28" s="39" t="str">
        <f>IF(AND('Mapa final'!$Y$24="Media",'Mapa final'!$AA$24="Mayor"),CONCATENATE("R3C",'Mapa final'!$O$24),"")</f>
        <v/>
      </c>
      <c r="AE28" s="39" t="str">
        <f>IF(AND('Mapa final'!$Y$25="Media",'Mapa final'!$AA$25="Mayor"),CONCATENATE("R3C",'Mapa final'!$O$25),"")</f>
        <v/>
      </c>
      <c r="AF28" s="39" t="str">
        <f>IF(AND('Mapa final'!$Y$26="Media",'Mapa final'!$AA$26="Mayor"),CONCATENATE("R3C",'Mapa final'!$O$26),"")</f>
        <v/>
      </c>
      <c r="AG28" s="40" t="str">
        <f>IF(AND('Mapa final'!$Y$27="Media",'Mapa final'!$AA$27="Mayor"),CONCATENATE("R3C",'Mapa final'!$O$27),"")</f>
        <v/>
      </c>
      <c r="AH28" s="41" t="str">
        <f>IF(AND('Mapa final'!$Y$22="Media",'Mapa final'!$AA$22="Catastrófico"),CONCATENATE("R3C",'Mapa final'!$O$22),"")</f>
        <v/>
      </c>
      <c r="AI28" s="42" t="str">
        <f>IF(AND('Mapa final'!$Y$23="Media",'Mapa final'!$AA$23="Catastrófico"),CONCATENATE("R3C",'Mapa final'!$O$23),"")</f>
        <v/>
      </c>
      <c r="AJ28" s="42" t="str">
        <f>IF(AND('Mapa final'!$Y$24="Media",'Mapa final'!$AA$24="Catastrófico"),CONCATENATE("R3C",'Mapa final'!$O$24),"")</f>
        <v/>
      </c>
      <c r="AK28" s="42" t="str">
        <f>IF(AND('Mapa final'!$Y$25="Media",'Mapa final'!$AA$25="Catastrófico"),CONCATENATE("R3C",'Mapa final'!$O$25),"")</f>
        <v/>
      </c>
      <c r="AL28" s="42" t="str">
        <f>IF(AND('Mapa final'!$Y$26="Media",'Mapa final'!$AA$26="Catastrófico"),CONCATENATE("R3C",'Mapa final'!$O$26),"")</f>
        <v/>
      </c>
      <c r="AM28" s="43" t="str">
        <f>IF(AND('Mapa final'!$Y$27="Media",'Mapa final'!$AA$27="Catastrófico"),CONCATENATE("R3C",'Mapa final'!$O$27),"")</f>
        <v/>
      </c>
      <c r="AN28" s="69"/>
      <c r="AO28" s="430"/>
      <c r="AP28" s="431"/>
      <c r="AQ28" s="431"/>
      <c r="AR28" s="431"/>
      <c r="AS28" s="431"/>
      <c r="AT28" s="432"/>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349"/>
      <c r="C29" s="349"/>
      <c r="D29" s="350"/>
      <c r="E29" s="390"/>
      <c r="F29" s="391"/>
      <c r="G29" s="391"/>
      <c r="H29" s="391"/>
      <c r="I29" s="392"/>
      <c r="J29" s="53" t="str">
        <f>IF(AND('Mapa final'!$Y$28="Media",'Mapa final'!$AA$28="Leve"),CONCATENATE("R4C",'Mapa final'!$O$28),"")</f>
        <v/>
      </c>
      <c r="K29" s="54" t="str">
        <f>IF(AND('Mapa final'!$Y$29="Media",'Mapa final'!$AA$29="Leve"),CONCATENATE("R4C",'Mapa final'!$O$29),"")</f>
        <v/>
      </c>
      <c r="L29" s="54" t="str">
        <f>IF(AND('Mapa final'!$Y$30="Media",'Mapa final'!$AA$30="Leve"),CONCATENATE("R4C",'Mapa final'!$O$30),"")</f>
        <v/>
      </c>
      <c r="M29" s="54" t="str">
        <f>IF(AND('Mapa final'!$Y$31="Media",'Mapa final'!$AA$31="Leve"),CONCATENATE("R4C",'Mapa final'!$O$31),"")</f>
        <v/>
      </c>
      <c r="N29" s="54" t="str">
        <f>IF(AND('Mapa final'!$Y$32="Media",'Mapa final'!$AA$32="Leve"),CONCATENATE("R4C",'Mapa final'!$O$32),"")</f>
        <v/>
      </c>
      <c r="O29" s="55" t="str">
        <f>IF(AND('Mapa final'!$Y$33="Media",'Mapa final'!$AA$33="Leve"),CONCATENATE("R4C",'Mapa final'!$O$33),"")</f>
        <v/>
      </c>
      <c r="P29" s="53" t="str">
        <f>IF(AND('Mapa final'!$Y$28="Media",'Mapa final'!$AA$28="Menor"),CONCATENATE("R4C",'Mapa final'!$O$28),"")</f>
        <v/>
      </c>
      <c r="Q29" s="54" t="str">
        <f>IF(AND('Mapa final'!$Y$29="Media",'Mapa final'!$AA$29="Menor"),CONCATENATE("R4C",'Mapa final'!$O$29),"")</f>
        <v/>
      </c>
      <c r="R29" s="54" t="str">
        <f>IF(AND('Mapa final'!$Y$30="Media",'Mapa final'!$AA$30="Menor"),CONCATENATE("R4C",'Mapa final'!$O$30),"")</f>
        <v/>
      </c>
      <c r="S29" s="54" t="str">
        <f>IF(AND('Mapa final'!$Y$31="Media",'Mapa final'!$AA$31="Menor"),CONCATENATE("R4C",'Mapa final'!$O$31),"")</f>
        <v/>
      </c>
      <c r="T29" s="54" t="str">
        <f>IF(AND('Mapa final'!$Y$32="Media",'Mapa final'!$AA$32="Menor"),CONCATENATE("R4C",'Mapa final'!$O$32),"")</f>
        <v/>
      </c>
      <c r="U29" s="55" t="str">
        <f>IF(AND('Mapa final'!$Y$33="Media",'Mapa final'!$AA$33="Menor"),CONCATENATE("R4C",'Mapa final'!$O$33),"")</f>
        <v/>
      </c>
      <c r="V29" s="53" t="str">
        <f>IF(AND('Mapa final'!$Y$28="Media",'Mapa final'!$AA$28="Moderado"),CONCATENATE("R4C",'Mapa final'!$O$28),"")</f>
        <v/>
      </c>
      <c r="W29" s="54" t="str">
        <f>IF(AND('Mapa final'!$Y$29="Media",'Mapa final'!$AA$29="Moderado"),CONCATENATE("R4C",'Mapa final'!$O$29),"")</f>
        <v/>
      </c>
      <c r="X29" s="54" t="str">
        <f>IF(AND('Mapa final'!$Y$30="Media",'Mapa final'!$AA$30="Moderado"),CONCATENATE("R4C",'Mapa final'!$O$30),"")</f>
        <v/>
      </c>
      <c r="Y29" s="54" t="str">
        <f>IF(AND('Mapa final'!$Y$31="Media",'Mapa final'!$AA$31="Moderado"),CONCATENATE("R4C",'Mapa final'!$O$31),"")</f>
        <v/>
      </c>
      <c r="Z29" s="54" t="str">
        <f>IF(AND('Mapa final'!$Y$32="Media",'Mapa final'!$AA$32="Moderado"),CONCATENATE("R4C",'Mapa final'!$O$32),"")</f>
        <v/>
      </c>
      <c r="AA29" s="55" t="str">
        <f>IF(AND('Mapa final'!$Y$33="Media",'Mapa final'!$AA$33="Moderado"),CONCATENATE("R4C",'Mapa final'!$O$33),"")</f>
        <v/>
      </c>
      <c r="AB29" s="38" t="str">
        <f>IF(AND('Mapa final'!$Y$28="Media",'Mapa final'!$AA$28="Mayor"),CONCATENATE("R4C",'Mapa final'!$O$28),"")</f>
        <v/>
      </c>
      <c r="AC29" s="39" t="str">
        <f>IF(AND('Mapa final'!$Y$29="Media",'Mapa final'!$AA$29="Mayor"),CONCATENATE("R4C",'Mapa final'!$O$29),"")</f>
        <v/>
      </c>
      <c r="AD29" s="39" t="str">
        <f>IF(AND('Mapa final'!$Y$30="Media",'Mapa final'!$AA$30="Mayor"),CONCATENATE("R4C",'Mapa final'!$O$30),"")</f>
        <v/>
      </c>
      <c r="AE29" s="39" t="str">
        <f>IF(AND('Mapa final'!$Y$31="Media",'Mapa final'!$AA$31="Mayor"),CONCATENATE("R4C",'Mapa final'!$O$31),"")</f>
        <v/>
      </c>
      <c r="AF29" s="39" t="str">
        <f>IF(AND('Mapa final'!$Y$32="Media",'Mapa final'!$AA$32="Mayor"),CONCATENATE("R4C",'Mapa final'!$O$32),"")</f>
        <v/>
      </c>
      <c r="AG29" s="40" t="str">
        <f>IF(AND('Mapa final'!$Y$33="Media",'Mapa final'!$AA$33="Mayor"),CONCATENATE("R4C",'Mapa final'!$O$33),"")</f>
        <v/>
      </c>
      <c r="AH29" s="41" t="str">
        <f>IF(AND('Mapa final'!$Y$28="Media",'Mapa final'!$AA$28="Catastrófico"),CONCATENATE("R4C",'Mapa final'!$O$28),"")</f>
        <v/>
      </c>
      <c r="AI29" s="42" t="str">
        <f>IF(AND('Mapa final'!$Y$29="Media",'Mapa final'!$AA$29="Catastrófico"),CONCATENATE("R4C",'Mapa final'!$O$29),"")</f>
        <v/>
      </c>
      <c r="AJ29" s="42" t="str">
        <f>IF(AND('Mapa final'!$Y$30="Media",'Mapa final'!$AA$30="Catastrófico"),CONCATENATE("R4C",'Mapa final'!$O$30),"")</f>
        <v/>
      </c>
      <c r="AK29" s="42" t="str">
        <f>IF(AND('Mapa final'!$Y$31="Media",'Mapa final'!$AA$31="Catastrófico"),CONCATENATE("R4C",'Mapa final'!$O$31),"")</f>
        <v/>
      </c>
      <c r="AL29" s="42" t="str">
        <f>IF(AND('Mapa final'!$Y$32="Media",'Mapa final'!$AA$32="Catastrófico"),CONCATENATE("R4C",'Mapa final'!$O$32),"")</f>
        <v/>
      </c>
      <c r="AM29" s="43" t="str">
        <f>IF(AND('Mapa final'!$Y$33="Media",'Mapa final'!$AA$33="Catastrófico"),CONCATENATE("R4C",'Mapa final'!$O$33),"")</f>
        <v/>
      </c>
      <c r="AN29" s="69"/>
      <c r="AO29" s="430"/>
      <c r="AP29" s="431"/>
      <c r="AQ29" s="431"/>
      <c r="AR29" s="431"/>
      <c r="AS29" s="431"/>
      <c r="AT29" s="432"/>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349"/>
      <c r="C30" s="349"/>
      <c r="D30" s="350"/>
      <c r="E30" s="390"/>
      <c r="F30" s="391"/>
      <c r="G30" s="391"/>
      <c r="H30" s="391"/>
      <c r="I30" s="392"/>
      <c r="J30" s="53" t="str">
        <f>IF(AND('Mapa final'!$Y$34="Media",'Mapa final'!$AA$34="Leve"),CONCATENATE("R5C",'Mapa final'!$O$34),"")</f>
        <v/>
      </c>
      <c r="K30" s="54" t="str">
        <f>IF(AND('Mapa final'!$Y$35="Media",'Mapa final'!$AA$35="Leve"),CONCATENATE("R5C",'Mapa final'!$O$35),"")</f>
        <v/>
      </c>
      <c r="L30" s="54" t="str">
        <f>IF(AND('Mapa final'!$Y$36="Media",'Mapa final'!$AA$36="Leve"),CONCATENATE("R5C",'Mapa final'!$O$36),"")</f>
        <v/>
      </c>
      <c r="M30" s="54" t="str">
        <f>IF(AND('Mapa final'!$Y$37="Media",'Mapa final'!$AA$37="Leve"),CONCATENATE("R5C",'Mapa final'!$O$37),"")</f>
        <v/>
      </c>
      <c r="N30" s="54" t="str">
        <f>IF(AND('Mapa final'!$Y$38="Media",'Mapa final'!$AA$38="Leve"),CONCATENATE("R5C",'Mapa final'!$O$38),"")</f>
        <v/>
      </c>
      <c r="O30" s="55" t="str">
        <f>IF(AND('Mapa final'!$Y$39="Media",'Mapa final'!$AA$39="Leve"),CONCATENATE("R5C",'Mapa final'!$O$39),"")</f>
        <v/>
      </c>
      <c r="P30" s="53" t="str">
        <f>IF(AND('Mapa final'!$Y$34="Media",'Mapa final'!$AA$34="Menor"),CONCATENATE("R5C",'Mapa final'!$O$34),"")</f>
        <v/>
      </c>
      <c r="Q30" s="54" t="str">
        <f>IF(AND('Mapa final'!$Y$35="Media",'Mapa final'!$AA$35="Menor"),CONCATENATE("R5C",'Mapa final'!$O$35),"")</f>
        <v/>
      </c>
      <c r="R30" s="54" t="str">
        <f>IF(AND('Mapa final'!$Y$36="Media",'Mapa final'!$AA$36="Menor"),CONCATENATE("R5C",'Mapa final'!$O$36),"")</f>
        <v/>
      </c>
      <c r="S30" s="54" t="str">
        <f>IF(AND('Mapa final'!$Y$37="Media",'Mapa final'!$AA$37="Menor"),CONCATENATE("R5C",'Mapa final'!$O$37),"")</f>
        <v/>
      </c>
      <c r="T30" s="54" t="str">
        <f>IF(AND('Mapa final'!$Y$38="Media",'Mapa final'!$AA$38="Menor"),CONCATENATE("R5C",'Mapa final'!$O$38),"")</f>
        <v/>
      </c>
      <c r="U30" s="55" t="str">
        <f>IF(AND('Mapa final'!$Y$39="Media",'Mapa final'!$AA$39="Menor"),CONCATENATE("R5C",'Mapa final'!$O$39),"")</f>
        <v/>
      </c>
      <c r="V30" s="53" t="str">
        <f>IF(AND('Mapa final'!$Y$34="Media",'Mapa final'!$AA$34="Moderado"),CONCATENATE("R5C",'Mapa final'!$O$34),"")</f>
        <v/>
      </c>
      <c r="W30" s="54" t="str">
        <f>IF(AND('Mapa final'!$Y$35="Media",'Mapa final'!$AA$35="Moderado"),CONCATENATE("R5C",'Mapa final'!$O$35),"")</f>
        <v/>
      </c>
      <c r="X30" s="54" t="str">
        <f>IF(AND('Mapa final'!$Y$36="Media",'Mapa final'!$AA$36="Moderado"),CONCATENATE("R5C",'Mapa final'!$O$36),"")</f>
        <v/>
      </c>
      <c r="Y30" s="54" t="str">
        <f>IF(AND('Mapa final'!$Y$37="Media",'Mapa final'!$AA$37="Moderado"),CONCATENATE("R5C",'Mapa final'!$O$37),"")</f>
        <v/>
      </c>
      <c r="Z30" s="54" t="str">
        <f>IF(AND('Mapa final'!$Y$38="Media",'Mapa final'!$AA$38="Moderado"),CONCATENATE("R5C",'Mapa final'!$O$38),"")</f>
        <v/>
      </c>
      <c r="AA30" s="55" t="str">
        <f>IF(AND('Mapa final'!$Y$39="Media",'Mapa final'!$AA$39="Moderado"),CONCATENATE("R5C",'Mapa final'!$O$39),"")</f>
        <v/>
      </c>
      <c r="AB30" s="38" t="str">
        <f>IF(AND('Mapa final'!$Y$34="Media",'Mapa final'!$AA$34="Mayor"),CONCATENATE("R5C",'Mapa final'!$O$34),"")</f>
        <v/>
      </c>
      <c r="AC30" s="39" t="str">
        <f>IF(AND('Mapa final'!$Y$35="Media",'Mapa final'!$AA$35="Mayor"),CONCATENATE("R5C",'Mapa final'!$O$35),"")</f>
        <v/>
      </c>
      <c r="AD30" s="39" t="str">
        <f>IF(AND('Mapa final'!$Y$36="Media",'Mapa final'!$AA$36="Mayor"),CONCATENATE("R5C",'Mapa final'!$O$36),"")</f>
        <v/>
      </c>
      <c r="AE30" s="39" t="str">
        <f>IF(AND('Mapa final'!$Y$37="Media",'Mapa final'!$AA$37="Mayor"),CONCATENATE("R5C",'Mapa final'!$O$37),"")</f>
        <v/>
      </c>
      <c r="AF30" s="39" t="str">
        <f>IF(AND('Mapa final'!$Y$38="Media",'Mapa final'!$AA$38="Mayor"),CONCATENATE("R5C",'Mapa final'!$O$38),"")</f>
        <v/>
      </c>
      <c r="AG30" s="40" t="str">
        <f>IF(AND('Mapa final'!$Y$39="Media",'Mapa final'!$AA$39="Mayor"),CONCATENATE("R5C",'Mapa final'!$O$39),"")</f>
        <v/>
      </c>
      <c r="AH30" s="41" t="str">
        <f>IF(AND('Mapa final'!$Y$34="Media",'Mapa final'!$AA$34="Catastrófico"),CONCATENATE("R5C",'Mapa final'!$O$34),"")</f>
        <v/>
      </c>
      <c r="AI30" s="42" t="str">
        <f>IF(AND('Mapa final'!$Y$35="Media",'Mapa final'!$AA$35="Catastrófico"),CONCATENATE("R5C",'Mapa final'!$O$35),"")</f>
        <v/>
      </c>
      <c r="AJ30" s="42" t="str">
        <f>IF(AND('Mapa final'!$Y$36="Media",'Mapa final'!$AA$36="Catastrófico"),CONCATENATE("R5C",'Mapa final'!$O$36),"")</f>
        <v/>
      </c>
      <c r="AK30" s="42" t="str">
        <f>IF(AND('Mapa final'!$Y$37="Media",'Mapa final'!$AA$37="Catastrófico"),CONCATENATE("R5C",'Mapa final'!$O$37),"")</f>
        <v/>
      </c>
      <c r="AL30" s="42" t="str">
        <f>IF(AND('Mapa final'!$Y$38="Media",'Mapa final'!$AA$38="Catastrófico"),CONCATENATE("R5C",'Mapa final'!$O$38),"")</f>
        <v/>
      </c>
      <c r="AM30" s="43" t="str">
        <f>IF(AND('Mapa final'!$Y$39="Media",'Mapa final'!$AA$39="Catastrófico"),CONCATENATE("R5C",'Mapa final'!$O$39),"")</f>
        <v/>
      </c>
      <c r="AN30" s="69"/>
      <c r="AO30" s="430"/>
      <c r="AP30" s="431"/>
      <c r="AQ30" s="431"/>
      <c r="AR30" s="431"/>
      <c r="AS30" s="431"/>
      <c r="AT30" s="432"/>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349"/>
      <c r="C31" s="349"/>
      <c r="D31" s="350"/>
      <c r="E31" s="390"/>
      <c r="F31" s="391"/>
      <c r="G31" s="391"/>
      <c r="H31" s="391"/>
      <c r="I31" s="392"/>
      <c r="J31" s="53" t="str">
        <f>IF(AND('Mapa final'!$Y$40="Media",'Mapa final'!$AA$40="Leve"),CONCATENATE("R6C",'Mapa final'!$O$40),"")</f>
        <v/>
      </c>
      <c r="K31" s="54" t="str">
        <f>IF(AND('Mapa final'!$Y$41="Media",'Mapa final'!$AA$41="Leve"),CONCATENATE("R6C",'Mapa final'!$O$41),"")</f>
        <v/>
      </c>
      <c r="L31" s="54" t="str">
        <f>IF(AND('Mapa final'!$Y$42="Media",'Mapa final'!$AA$42="Leve"),CONCATENATE("R6C",'Mapa final'!$O$42),"")</f>
        <v/>
      </c>
      <c r="M31" s="54" t="str">
        <f>IF(AND('Mapa final'!$Y$43="Media",'Mapa final'!$AA$43="Leve"),CONCATENATE("R6C",'Mapa final'!$O$43),"")</f>
        <v/>
      </c>
      <c r="N31" s="54" t="str">
        <f>IF(AND('Mapa final'!$Y$44="Media",'Mapa final'!$AA$44="Leve"),CONCATENATE("R6C",'Mapa final'!$O$44),"")</f>
        <v/>
      </c>
      <c r="O31" s="55" t="str">
        <f>IF(AND('Mapa final'!$Y$45="Media",'Mapa final'!$AA$45="Leve"),CONCATENATE("R6C",'Mapa final'!$O$45),"")</f>
        <v/>
      </c>
      <c r="P31" s="53" t="str">
        <f>IF(AND('Mapa final'!$Y$40="Media",'Mapa final'!$AA$40="Menor"),CONCATENATE("R6C",'Mapa final'!$O$40),"")</f>
        <v/>
      </c>
      <c r="Q31" s="54" t="str">
        <f>IF(AND('Mapa final'!$Y$41="Media",'Mapa final'!$AA$41="Menor"),CONCATENATE("R6C",'Mapa final'!$O$41),"")</f>
        <v/>
      </c>
      <c r="R31" s="54" t="str">
        <f>IF(AND('Mapa final'!$Y$42="Media",'Mapa final'!$AA$42="Menor"),CONCATENATE("R6C",'Mapa final'!$O$42),"")</f>
        <v/>
      </c>
      <c r="S31" s="54" t="str">
        <f>IF(AND('Mapa final'!$Y$43="Media",'Mapa final'!$AA$43="Menor"),CONCATENATE("R6C",'Mapa final'!$O$43),"")</f>
        <v/>
      </c>
      <c r="T31" s="54" t="str">
        <f>IF(AND('Mapa final'!$Y$44="Media",'Mapa final'!$AA$44="Menor"),CONCATENATE("R6C",'Mapa final'!$O$44),"")</f>
        <v/>
      </c>
      <c r="U31" s="55" t="str">
        <f>IF(AND('Mapa final'!$Y$45="Media",'Mapa final'!$AA$45="Menor"),CONCATENATE("R6C",'Mapa final'!$O$45),"")</f>
        <v/>
      </c>
      <c r="V31" s="53" t="str">
        <f>IF(AND('Mapa final'!$Y$40="Media",'Mapa final'!$AA$40="Moderado"),CONCATENATE("R6C",'Mapa final'!$O$40),"")</f>
        <v/>
      </c>
      <c r="W31" s="54" t="str">
        <f>IF(AND('Mapa final'!$Y$41="Media",'Mapa final'!$AA$41="Moderado"),CONCATENATE("R6C",'Mapa final'!$O$41),"")</f>
        <v/>
      </c>
      <c r="X31" s="54" t="str">
        <f>IF(AND('Mapa final'!$Y$42="Media",'Mapa final'!$AA$42="Moderado"),CONCATENATE("R6C",'Mapa final'!$O$42),"")</f>
        <v/>
      </c>
      <c r="Y31" s="54" t="str">
        <f>IF(AND('Mapa final'!$Y$43="Media",'Mapa final'!$AA$43="Moderado"),CONCATENATE("R6C",'Mapa final'!$O$43),"")</f>
        <v/>
      </c>
      <c r="Z31" s="54" t="str">
        <f>IF(AND('Mapa final'!$Y$44="Media",'Mapa final'!$AA$44="Moderado"),CONCATENATE("R6C",'Mapa final'!$O$44),"")</f>
        <v/>
      </c>
      <c r="AA31" s="55" t="str">
        <f>IF(AND('Mapa final'!$Y$45="Media",'Mapa final'!$AA$45="Moderado"),CONCATENATE("R6C",'Mapa final'!$O$45),"")</f>
        <v/>
      </c>
      <c r="AB31" s="38" t="str">
        <f>IF(AND('Mapa final'!$Y$40="Media",'Mapa final'!$AA$40="Mayor"),CONCATENATE("R6C",'Mapa final'!$O$40),"")</f>
        <v/>
      </c>
      <c r="AC31" s="39" t="str">
        <f>IF(AND('Mapa final'!$Y$41="Media",'Mapa final'!$AA$41="Mayor"),CONCATENATE("R6C",'Mapa final'!$O$41),"")</f>
        <v/>
      </c>
      <c r="AD31" s="39" t="str">
        <f>IF(AND('Mapa final'!$Y$42="Media",'Mapa final'!$AA$42="Mayor"),CONCATENATE("R6C",'Mapa final'!$O$42),"")</f>
        <v/>
      </c>
      <c r="AE31" s="39" t="str">
        <f>IF(AND('Mapa final'!$Y$43="Media",'Mapa final'!$AA$43="Mayor"),CONCATENATE("R6C",'Mapa final'!$O$43),"")</f>
        <v/>
      </c>
      <c r="AF31" s="39" t="str">
        <f>IF(AND('Mapa final'!$Y$44="Media",'Mapa final'!$AA$44="Mayor"),CONCATENATE("R6C",'Mapa final'!$O$44),"")</f>
        <v/>
      </c>
      <c r="AG31" s="40" t="str">
        <f>IF(AND('Mapa final'!$Y$45="Media",'Mapa final'!$AA$45="Mayor"),CONCATENATE("R6C",'Mapa final'!$O$45),"")</f>
        <v/>
      </c>
      <c r="AH31" s="41" t="str">
        <f>IF(AND('Mapa final'!$Y$40="Media",'Mapa final'!$AA$40="Catastrófico"),CONCATENATE("R6C",'Mapa final'!$O$40),"")</f>
        <v/>
      </c>
      <c r="AI31" s="42" t="str">
        <f>IF(AND('Mapa final'!$Y$41="Media",'Mapa final'!$AA$41="Catastrófico"),CONCATENATE("R6C",'Mapa final'!$O$41),"")</f>
        <v/>
      </c>
      <c r="AJ31" s="42" t="str">
        <f>IF(AND('Mapa final'!$Y$42="Media",'Mapa final'!$AA$42="Catastrófico"),CONCATENATE("R6C",'Mapa final'!$O$42),"")</f>
        <v/>
      </c>
      <c r="AK31" s="42" t="str">
        <f>IF(AND('Mapa final'!$Y$43="Media",'Mapa final'!$AA$43="Catastrófico"),CONCATENATE("R6C",'Mapa final'!$O$43),"")</f>
        <v/>
      </c>
      <c r="AL31" s="42" t="str">
        <f>IF(AND('Mapa final'!$Y$44="Media",'Mapa final'!$AA$44="Catastrófico"),CONCATENATE("R6C",'Mapa final'!$O$44),"")</f>
        <v/>
      </c>
      <c r="AM31" s="43" t="str">
        <f>IF(AND('Mapa final'!$Y$45="Media",'Mapa final'!$AA$45="Catastrófico"),CONCATENATE("R6C",'Mapa final'!$O$45),"")</f>
        <v/>
      </c>
      <c r="AN31" s="69"/>
      <c r="AO31" s="430"/>
      <c r="AP31" s="431"/>
      <c r="AQ31" s="431"/>
      <c r="AR31" s="431"/>
      <c r="AS31" s="431"/>
      <c r="AT31" s="432"/>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349"/>
      <c r="C32" s="349"/>
      <c r="D32" s="350"/>
      <c r="E32" s="390"/>
      <c r="F32" s="391"/>
      <c r="G32" s="391"/>
      <c r="H32" s="391"/>
      <c r="I32" s="392"/>
      <c r="J32" s="53" t="str">
        <f>IF(AND('Mapa final'!$Y$46="Media",'Mapa final'!$AA$46="Leve"),CONCATENATE("R7C",'Mapa final'!$O$46),"")</f>
        <v/>
      </c>
      <c r="K32" s="54" t="str">
        <f>IF(AND('Mapa final'!$Y$47="Media",'Mapa final'!$AA$47="Leve"),CONCATENATE("R7C",'Mapa final'!$O$47),"")</f>
        <v/>
      </c>
      <c r="L32" s="54" t="str">
        <f>IF(AND('Mapa final'!$Y$48="Media",'Mapa final'!$AA$48="Leve"),CONCATENATE("R7C",'Mapa final'!$O$48),"")</f>
        <v/>
      </c>
      <c r="M32" s="54" t="str">
        <f>IF(AND('Mapa final'!$Y$49="Media",'Mapa final'!$AA$49="Leve"),CONCATENATE("R7C",'Mapa final'!$O$49),"")</f>
        <v/>
      </c>
      <c r="N32" s="54" t="str">
        <f>IF(AND('Mapa final'!$Y$50="Media",'Mapa final'!$AA$50="Leve"),CONCATENATE("R7C",'Mapa final'!$O$50),"")</f>
        <v/>
      </c>
      <c r="O32" s="55" t="str">
        <f>IF(AND('Mapa final'!$Y$51="Media",'Mapa final'!$AA$51="Leve"),CONCATENATE("R7C",'Mapa final'!$O$51),"")</f>
        <v/>
      </c>
      <c r="P32" s="53" t="str">
        <f>IF(AND('Mapa final'!$Y$46="Media",'Mapa final'!$AA$46="Menor"),CONCATENATE("R7C",'Mapa final'!$O$46),"")</f>
        <v/>
      </c>
      <c r="Q32" s="54" t="str">
        <f>IF(AND('Mapa final'!$Y$47="Media",'Mapa final'!$AA$47="Menor"),CONCATENATE("R7C",'Mapa final'!$O$47),"")</f>
        <v/>
      </c>
      <c r="R32" s="54" t="str">
        <f>IF(AND('Mapa final'!$Y$48="Media",'Mapa final'!$AA$48="Menor"),CONCATENATE("R7C",'Mapa final'!$O$48),"")</f>
        <v/>
      </c>
      <c r="S32" s="54" t="str">
        <f>IF(AND('Mapa final'!$Y$49="Media",'Mapa final'!$AA$49="Menor"),CONCATENATE("R7C",'Mapa final'!$O$49),"")</f>
        <v/>
      </c>
      <c r="T32" s="54" t="str">
        <f>IF(AND('Mapa final'!$Y$50="Media",'Mapa final'!$AA$50="Menor"),CONCATENATE("R7C",'Mapa final'!$O$50),"")</f>
        <v/>
      </c>
      <c r="U32" s="55" t="str">
        <f>IF(AND('Mapa final'!$Y$51="Media",'Mapa final'!$AA$51="Menor"),CONCATENATE("R7C",'Mapa final'!$O$51),"")</f>
        <v/>
      </c>
      <c r="V32" s="53" t="str">
        <f>IF(AND('Mapa final'!$Y$46="Media",'Mapa final'!$AA$46="Moderado"),CONCATENATE("R7C",'Mapa final'!$O$46),"")</f>
        <v/>
      </c>
      <c r="W32" s="54" t="str">
        <f>IF(AND('Mapa final'!$Y$47="Media",'Mapa final'!$AA$47="Moderado"),CONCATENATE("R7C",'Mapa final'!$O$47),"")</f>
        <v/>
      </c>
      <c r="X32" s="54" t="str">
        <f>IF(AND('Mapa final'!$Y$48="Media",'Mapa final'!$AA$48="Moderado"),CONCATENATE("R7C",'Mapa final'!$O$48),"")</f>
        <v/>
      </c>
      <c r="Y32" s="54" t="str">
        <f>IF(AND('Mapa final'!$Y$49="Media",'Mapa final'!$AA$49="Moderado"),CONCATENATE("R7C",'Mapa final'!$O$49),"")</f>
        <v/>
      </c>
      <c r="Z32" s="54" t="str">
        <f>IF(AND('Mapa final'!$Y$50="Media",'Mapa final'!$AA$50="Moderado"),CONCATENATE("R7C",'Mapa final'!$O$50),"")</f>
        <v/>
      </c>
      <c r="AA32" s="55" t="str">
        <f>IF(AND('Mapa final'!$Y$51="Media",'Mapa final'!$AA$51="Moderado"),CONCATENATE("R7C",'Mapa final'!$O$51),"")</f>
        <v/>
      </c>
      <c r="AB32" s="38" t="str">
        <f>IF(AND('Mapa final'!$Y$46="Media",'Mapa final'!$AA$46="Mayor"),CONCATENATE("R7C",'Mapa final'!$O$46),"")</f>
        <v/>
      </c>
      <c r="AC32" s="39" t="str">
        <f>IF(AND('Mapa final'!$Y$47="Media",'Mapa final'!$AA$47="Mayor"),CONCATENATE("R7C",'Mapa final'!$O$47),"")</f>
        <v/>
      </c>
      <c r="AD32" s="39" t="str">
        <f>IF(AND('Mapa final'!$Y$48="Media",'Mapa final'!$AA$48="Mayor"),CONCATENATE("R7C",'Mapa final'!$O$48),"")</f>
        <v/>
      </c>
      <c r="AE32" s="39" t="str">
        <f>IF(AND('Mapa final'!$Y$49="Media",'Mapa final'!$AA$49="Mayor"),CONCATENATE("R7C",'Mapa final'!$O$49),"")</f>
        <v/>
      </c>
      <c r="AF32" s="39" t="str">
        <f>IF(AND('Mapa final'!$Y$50="Media",'Mapa final'!$AA$50="Mayor"),CONCATENATE("R7C",'Mapa final'!$O$50),"")</f>
        <v/>
      </c>
      <c r="AG32" s="40" t="str">
        <f>IF(AND('Mapa final'!$Y$51="Media",'Mapa final'!$AA$51="Mayor"),CONCATENATE("R7C",'Mapa final'!$O$51),"")</f>
        <v/>
      </c>
      <c r="AH32" s="41" t="str">
        <f>IF(AND('Mapa final'!$Y$46="Media",'Mapa final'!$AA$46="Catastrófico"),CONCATENATE("R7C",'Mapa final'!$O$46),"")</f>
        <v/>
      </c>
      <c r="AI32" s="42" t="str">
        <f>IF(AND('Mapa final'!$Y$47="Media",'Mapa final'!$AA$47="Catastrófico"),CONCATENATE("R7C",'Mapa final'!$O$47),"")</f>
        <v/>
      </c>
      <c r="AJ32" s="42" t="str">
        <f>IF(AND('Mapa final'!$Y$48="Media",'Mapa final'!$AA$48="Catastrófico"),CONCATENATE("R7C",'Mapa final'!$O$48),"")</f>
        <v/>
      </c>
      <c r="AK32" s="42" t="str">
        <f>IF(AND('Mapa final'!$Y$49="Media",'Mapa final'!$AA$49="Catastrófico"),CONCATENATE("R7C",'Mapa final'!$O$49),"")</f>
        <v/>
      </c>
      <c r="AL32" s="42" t="str">
        <f>IF(AND('Mapa final'!$Y$50="Media",'Mapa final'!$AA$50="Catastrófico"),CONCATENATE("R7C",'Mapa final'!$O$50),"")</f>
        <v/>
      </c>
      <c r="AM32" s="43" t="str">
        <f>IF(AND('Mapa final'!$Y$51="Media",'Mapa final'!$AA$51="Catastrófico"),CONCATENATE("R7C",'Mapa final'!$O$51),"")</f>
        <v/>
      </c>
      <c r="AN32" s="69"/>
      <c r="AO32" s="430"/>
      <c r="AP32" s="431"/>
      <c r="AQ32" s="431"/>
      <c r="AR32" s="431"/>
      <c r="AS32" s="431"/>
      <c r="AT32" s="432"/>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349"/>
      <c r="C33" s="349"/>
      <c r="D33" s="350"/>
      <c r="E33" s="390"/>
      <c r="F33" s="391"/>
      <c r="G33" s="391"/>
      <c r="H33" s="391"/>
      <c r="I33" s="392"/>
      <c r="J33" s="53" t="str">
        <f>IF(AND('Mapa final'!$Y$52="Media",'Mapa final'!$AA$52="Leve"),CONCATENATE("R8C",'Mapa final'!$O$52),"")</f>
        <v/>
      </c>
      <c r="K33" s="54" t="str">
        <f>IF(AND('Mapa final'!$Y$53="Media",'Mapa final'!$AA$53="Leve"),CONCATENATE("R8C",'Mapa final'!$O$53),"")</f>
        <v/>
      </c>
      <c r="L33" s="54" t="str">
        <f>IF(AND('Mapa final'!$Y$54="Media",'Mapa final'!$AA$54="Leve"),CONCATENATE("R8C",'Mapa final'!$O$54),"")</f>
        <v/>
      </c>
      <c r="M33" s="54" t="str">
        <f>IF(AND('Mapa final'!$Y$55="Media",'Mapa final'!$AA$55="Leve"),CONCATENATE("R8C",'Mapa final'!$O$55),"")</f>
        <v/>
      </c>
      <c r="N33" s="54" t="str">
        <f>IF(AND('Mapa final'!$Y$56="Media",'Mapa final'!$AA$56="Leve"),CONCATENATE("R8C",'Mapa final'!$O$56),"")</f>
        <v/>
      </c>
      <c r="O33" s="55" t="str">
        <f>IF(AND('Mapa final'!$Y$57="Media",'Mapa final'!$AA$57="Leve"),CONCATENATE("R8C",'Mapa final'!$O$57),"")</f>
        <v/>
      </c>
      <c r="P33" s="53" t="str">
        <f>IF(AND('Mapa final'!$Y$52="Media",'Mapa final'!$AA$52="Menor"),CONCATENATE("R8C",'Mapa final'!$O$52),"")</f>
        <v/>
      </c>
      <c r="Q33" s="54" t="str">
        <f>IF(AND('Mapa final'!$Y$53="Media",'Mapa final'!$AA$53="Menor"),CONCATENATE("R8C",'Mapa final'!$O$53),"")</f>
        <v/>
      </c>
      <c r="R33" s="54" t="str">
        <f>IF(AND('Mapa final'!$Y$54="Media",'Mapa final'!$AA$54="Menor"),CONCATENATE("R8C",'Mapa final'!$O$54),"")</f>
        <v/>
      </c>
      <c r="S33" s="54" t="str">
        <f>IF(AND('Mapa final'!$Y$55="Media",'Mapa final'!$AA$55="Menor"),CONCATENATE("R8C",'Mapa final'!$O$55),"")</f>
        <v/>
      </c>
      <c r="T33" s="54" t="str">
        <f>IF(AND('Mapa final'!$Y$56="Media",'Mapa final'!$AA$56="Menor"),CONCATENATE("R8C",'Mapa final'!$O$56),"")</f>
        <v/>
      </c>
      <c r="U33" s="55" t="str">
        <f>IF(AND('Mapa final'!$Y$57="Media",'Mapa final'!$AA$57="Menor"),CONCATENATE("R8C",'Mapa final'!$O$57),"")</f>
        <v/>
      </c>
      <c r="V33" s="53" t="str">
        <f>IF(AND('Mapa final'!$Y$52="Media",'Mapa final'!$AA$52="Moderado"),CONCATENATE("R8C",'Mapa final'!$O$52),"")</f>
        <v/>
      </c>
      <c r="W33" s="54" t="str">
        <f>IF(AND('Mapa final'!$Y$53="Media",'Mapa final'!$AA$53="Moderado"),CONCATENATE("R8C",'Mapa final'!$O$53),"")</f>
        <v/>
      </c>
      <c r="X33" s="54" t="str">
        <f>IF(AND('Mapa final'!$Y$54="Media",'Mapa final'!$AA$54="Moderado"),CONCATENATE("R8C",'Mapa final'!$O$54),"")</f>
        <v/>
      </c>
      <c r="Y33" s="54" t="str">
        <f>IF(AND('Mapa final'!$Y$55="Media",'Mapa final'!$AA$55="Moderado"),CONCATENATE("R8C",'Mapa final'!$O$55),"")</f>
        <v/>
      </c>
      <c r="Z33" s="54" t="str">
        <f>IF(AND('Mapa final'!$Y$56="Media",'Mapa final'!$AA$56="Moderado"),CONCATENATE("R8C",'Mapa final'!$O$56),"")</f>
        <v/>
      </c>
      <c r="AA33" s="55" t="str">
        <f>IF(AND('Mapa final'!$Y$57="Media",'Mapa final'!$AA$57="Moderado"),CONCATENATE("R8C",'Mapa final'!$O$57),"")</f>
        <v/>
      </c>
      <c r="AB33" s="38" t="str">
        <f>IF(AND('Mapa final'!$Y$52="Media",'Mapa final'!$AA$52="Mayor"),CONCATENATE("R8C",'Mapa final'!$O$52),"")</f>
        <v/>
      </c>
      <c r="AC33" s="39" t="str">
        <f>IF(AND('Mapa final'!$Y$53="Media",'Mapa final'!$AA$53="Mayor"),CONCATENATE("R8C",'Mapa final'!$O$53),"")</f>
        <v/>
      </c>
      <c r="AD33" s="39" t="str">
        <f>IF(AND('Mapa final'!$Y$54="Media",'Mapa final'!$AA$54="Mayor"),CONCATENATE("R8C",'Mapa final'!$O$54),"")</f>
        <v/>
      </c>
      <c r="AE33" s="39" t="str">
        <f>IF(AND('Mapa final'!$Y$55="Media",'Mapa final'!$AA$55="Mayor"),CONCATENATE("R8C",'Mapa final'!$O$55),"")</f>
        <v/>
      </c>
      <c r="AF33" s="39" t="str">
        <f>IF(AND('Mapa final'!$Y$56="Media",'Mapa final'!$AA$56="Mayor"),CONCATENATE("R8C",'Mapa final'!$O$56),"")</f>
        <v/>
      </c>
      <c r="AG33" s="40" t="str">
        <f>IF(AND('Mapa final'!$Y$57="Media",'Mapa final'!$AA$57="Mayor"),CONCATENATE("R8C",'Mapa final'!$O$57),"")</f>
        <v/>
      </c>
      <c r="AH33" s="41" t="str">
        <f>IF(AND('Mapa final'!$Y$52="Media",'Mapa final'!$AA$52="Catastrófico"),CONCATENATE("R8C",'Mapa final'!$O$52),"")</f>
        <v/>
      </c>
      <c r="AI33" s="42" t="str">
        <f>IF(AND('Mapa final'!$Y$53="Media",'Mapa final'!$AA$53="Catastrófico"),CONCATENATE("R8C",'Mapa final'!$O$53),"")</f>
        <v/>
      </c>
      <c r="AJ33" s="42" t="str">
        <f>IF(AND('Mapa final'!$Y$54="Media",'Mapa final'!$AA$54="Catastrófico"),CONCATENATE("R8C",'Mapa final'!$O$54),"")</f>
        <v/>
      </c>
      <c r="AK33" s="42" t="str">
        <f>IF(AND('Mapa final'!$Y$55="Media",'Mapa final'!$AA$55="Catastrófico"),CONCATENATE("R8C",'Mapa final'!$O$55),"")</f>
        <v/>
      </c>
      <c r="AL33" s="42" t="str">
        <f>IF(AND('Mapa final'!$Y$56="Media",'Mapa final'!$AA$56="Catastrófico"),CONCATENATE("R8C",'Mapa final'!$O$56),"")</f>
        <v/>
      </c>
      <c r="AM33" s="43" t="str">
        <f>IF(AND('Mapa final'!$Y$57="Media",'Mapa final'!$AA$57="Catastrófico"),CONCATENATE("R8C",'Mapa final'!$O$57),"")</f>
        <v/>
      </c>
      <c r="AN33" s="69"/>
      <c r="AO33" s="430"/>
      <c r="AP33" s="431"/>
      <c r="AQ33" s="431"/>
      <c r="AR33" s="431"/>
      <c r="AS33" s="431"/>
      <c r="AT33" s="432"/>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349"/>
      <c r="C34" s="349"/>
      <c r="D34" s="350"/>
      <c r="E34" s="390"/>
      <c r="F34" s="391"/>
      <c r="G34" s="391"/>
      <c r="H34" s="391"/>
      <c r="I34" s="392"/>
      <c r="J34" s="53" t="str">
        <f>IF(AND('Mapa final'!$Y$58="Media",'Mapa final'!$AA$58="Leve"),CONCATENATE("R9C",'Mapa final'!$O$58),"")</f>
        <v/>
      </c>
      <c r="K34" s="54" t="str">
        <f>IF(AND('Mapa final'!$Y$59="Media",'Mapa final'!$AA$59="Leve"),CONCATENATE("R9C",'Mapa final'!$O$59),"")</f>
        <v/>
      </c>
      <c r="L34" s="54" t="str">
        <f>IF(AND('Mapa final'!$Y$60="Media",'Mapa final'!$AA$60="Leve"),CONCATENATE("R9C",'Mapa final'!$O$60),"")</f>
        <v/>
      </c>
      <c r="M34" s="54" t="str">
        <f>IF(AND('Mapa final'!$Y$61="Media",'Mapa final'!$AA$61="Leve"),CONCATENATE("R9C",'Mapa final'!$O$61),"")</f>
        <v/>
      </c>
      <c r="N34" s="54" t="str">
        <f>IF(AND('Mapa final'!$Y$62="Media",'Mapa final'!$AA$62="Leve"),CONCATENATE("R9C",'Mapa final'!$O$62),"")</f>
        <v/>
      </c>
      <c r="O34" s="55" t="str">
        <f>IF(AND('Mapa final'!$Y$63="Media",'Mapa final'!$AA$63="Leve"),CONCATENATE("R9C",'Mapa final'!$O$63),"")</f>
        <v/>
      </c>
      <c r="P34" s="53" t="str">
        <f>IF(AND('Mapa final'!$Y$58="Media",'Mapa final'!$AA$58="Menor"),CONCATENATE("R9C",'Mapa final'!$O$58),"")</f>
        <v/>
      </c>
      <c r="Q34" s="54" t="str">
        <f>IF(AND('Mapa final'!$Y$59="Media",'Mapa final'!$AA$59="Menor"),CONCATENATE("R9C",'Mapa final'!$O$59),"")</f>
        <v/>
      </c>
      <c r="R34" s="54" t="str">
        <f>IF(AND('Mapa final'!$Y$60="Media",'Mapa final'!$AA$60="Menor"),CONCATENATE("R9C",'Mapa final'!$O$60),"")</f>
        <v/>
      </c>
      <c r="S34" s="54" t="str">
        <f>IF(AND('Mapa final'!$Y$61="Media",'Mapa final'!$AA$61="Menor"),CONCATENATE("R9C",'Mapa final'!$O$61),"")</f>
        <v/>
      </c>
      <c r="T34" s="54" t="str">
        <f>IF(AND('Mapa final'!$Y$62="Media",'Mapa final'!$AA$62="Menor"),CONCATENATE("R9C",'Mapa final'!$O$62),"")</f>
        <v/>
      </c>
      <c r="U34" s="55" t="str">
        <f>IF(AND('Mapa final'!$Y$63="Media",'Mapa final'!$AA$63="Menor"),CONCATENATE("R9C",'Mapa final'!$O$63),"")</f>
        <v/>
      </c>
      <c r="V34" s="53" t="str">
        <f>IF(AND('Mapa final'!$Y$58="Media",'Mapa final'!$AA$58="Moderado"),CONCATENATE("R9C",'Mapa final'!$O$58),"")</f>
        <v/>
      </c>
      <c r="W34" s="54" t="str">
        <f>IF(AND('Mapa final'!$Y$59="Media",'Mapa final'!$AA$59="Moderado"),CONCATENATE("R9C",'Mapa final'!$O$59),"")</f>
        <v/>
      </c>
      <c r="X34" s="54" t="str">
        <f>IF(AND('Mapa final'!$Y$60="Media",'Mapa final'!$AA$60="Moderado"),CONCATENATE("R9C",'Mapa final'!$O$60),"")</f>
        <v/>
      </c>
      <c r="Y34" s="54" t="str">
        <f>IF(AND('Mapa final'!$Y$61="Media",'Mapa final'!$AA$61="Moderado"),CONCATENATE("R9C",'Mapa final'!$O$61),"")</f>
        <v/>
      </c>
      <c r="Z34" s="54" t="str">
        <f>IF(AND('Mapa final'!$Y$62="Media",'Mapa final'!$AA$62="Moderado"),CONCATENATE("R9C",'Mapa final'!$O$62),"")</f>
        <v/>
      </c>
      <c r="AA34" s="55" t="str">
        <f>IF(AND('Mapa final'!$Y$63="Media",'Mapa final'!$AA$63="Moderado"),CONCATENATE("R9C",'Mapa final'!$O$63),"")</f>
        <v/>
      </c>
      <c r="AB34" s="38" t="str">
        <f>IF(AND('Mapa final'!$Y$58="Media",'Mapa final'!$AA$58="Mayor"),CONCATENATE("R9C",'Mapa final'!$O$58),"")</f>
        <v/>
      </c>
      <c r="AC34" s="39" t="str">
        <f>IF(AND('Mapa final'!$Y$59="Media",'Mapa final'!$AA$59="Mayor"),CONCATENATE("R9C",'Mapa final'!$O$59),"")</f>
        <v/>
      </c>
      <c r="AD34" s="39" t="str">
        <f>IF(AND('Mapa final'!$Y$60="Media",'Mapa final'!$AA$60="Mayor"),CONCATENATE("R9C",'Mapa final'!$O$60),"")</f>
        <v/>
      </c>
      <c r="AE34" s="39" t="str">
        <f>IF(AND('Mapa final'!$Y$61="Media",'Mapa final'!$AA$61="Mayor"),CONCATENATE("R9C",'Mapa final'!$O$61),"")</f>
        <v/>
      </c>
      <c r="AF34" s="39" t="str">
        <f>IF(AND('Mapa final'!$Y$62="Media",'Mapa final'!$AA$62="Mayor"),CONCATENATE("R9C",'Mapa final'!$O$62),"")</f>
        <v/>
      </c>
      <c r="AG34" s="40" t="str">
        <f>IF(AND('Mapa final'!$Y$63="Media",'Mapa final'!$AA$63="Mayor"),CONCATENATE("R9C",'Mapa final'!$O$63),"")</f>
        <v/>
      </c>
      <c r="AH34" s="41" t="str">
        <f>IF(AND('Mapa final'!$Y$58="Media",'Mapa final'!$AA$58="Catastrófico"),CONCATENATE("R9C",'Mapa final'!$O$58),"")</f>
        <v/>
      </c>
      <c r="AI34" s="42" t="str">
        <f>IF(AND('Mapa final'!$Y$59="Media",'Mapa final'!$AA$59="Catastrófico"),CONCATENATE("R9C",'Mapa final'!$O$59),"")</f>
        <v/>
      </c>
      <c r="AJ34" s="42" t="str">
        <f>IF(AND('Mapa final'!$Y$60="Media",'Mapa final'!$AA$60="Catastrófico"),CONCATENATE("R9C",'Mapa final'!$O$60),"")</f>
        <v/>
      </c>
      <c r="AK34" s="42" t="str">
        <f>IF(AND('Mapa final'!$Y$61="Media",'Mapa final'!$AA$61="Catastrófico"),CONCATENATE("R9C",'Mapa final'!$O$61),"")</f>
        <v/>
      </c>
      <c r="AL34" s="42" t="str">
        <f>IF(AND('Mapa final'!$Y$62="Media",'Mapa final'!$AA$62="Catastrófico"),CONCATENATE("R9C",'Mapa final'!$O$62),"")</f>
        <v/>
      </c>
      <c r="AM34" s="43" t="str">
        <f>IF(AND('Mapa final'!$Y$63="Media",'Mapa final'!$AA$63="Catastrófico"),CONCATENATE("R9C",'Mapa final'!$O$63),"")</f>
        <v/>
      </c>
      <c r="AN34" s="69"/>
      <c r="AO34" s="430"/>
      <c r="AP34" s="431"/>
      <c r="AQ34" s="431"/>
      <c r="AR34" s="431"/>
      <c r="AS34" s="431"/>
      <c r="AT34" s="432"/>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349"/>
      <c r="C35" s="349"/>
      <c r="D35" s="350"/>
      <c r="E35" s="393"/>
      <c r="F35" s="394"/>
      <c r="G35" s="394"/>
      <c r="H35" s="394"/>
      <c r="I35" s="395"/>
      <c r="J35" s="53" t="str">
        <f>IF(AND('Mapa final'!$Y$64="Media",'Mapa final'!$AA$64="Leve"),CONCATENATE("R10C",'Mapa final'!$O$64),"")</f>
        <v/>
      </c>
      <c r="K35" s="54" t="str">
        <f>IF(AND('Mapa final'!$Y$65="Media",'Mapa final'!$AA$65="Leve"),CONCATENATE("R10C",'Mapa final'!$O$65),"")</f>
        <v/>
      </c>
      <c r="L35" s="54" t="str">
        <f>IF(AND('Mapa final'!$Y$66="Media",'Mapa final'!$AA$66="Leve"),CONCATENATE("R10C",'Mapa final'!$O$66),"")</f>
        <v/>
      </c>
      <c r="M35" s="54" t="str">
        <f>IF(AND('Mapa final'!$Y$67="Media",'Mapa final'!$AA$67="Leve"),CONCATENATE("R10C",'Mapa final'!$O$67),"")</f>
        <v/>
      </c>
      <c r="N35" s="54" t="str">
        <f>IF(AND('Mapa final'!$Y$68="Media",'Mapa final'!$AA$68="Leve"),CONCATENATE("R10C",'Mapa final'!$O$68),"")</f>
        <v/>
      </c>
      <c r="O35" s="55" t="str">
        <f>IF(AND('Mapa final'!$Y$69="Media",'Mapa final'!$AA$69="Leve"),CONCATENATE("R10C",'Mapa final'!$O$69),"")</f>
        <v/>
      </c>
      <c r="P35" s="53" t="str">
        <f>IF(AND('Mapa final'!$Y$64="Media",'Mapa final'!$AA$64="Menor"),CONCATENATE("R10C",'Mapa final'!$O$64),"")</f>
        <v/>
      </c>
      <c r="Q35" s="54" t="str">
        <f>IF(AND('Mapa final'!$Y$65="Media",'Mapa final'!$AA$65="Menor"),CONCATENATE("R10C",'Mapa final'!$O$65),"")</f>
        <v/>
      </c>
      <c r="R35" s="54" t="str">
        <f>IF(AND('Mapa final'!$Y$66="Media",'Mapa final'!$AA$66="Menor"),CONCATENATE("R10C",'Mapa final'!$O$66),"")</f>
        <v/>
      </c>
      <c r="S35" s="54" t="str">
        <f>IF(AND('Mapa final'!$Y$67="Media",'Mapa final'!$AA$67="Menor"),CONCATENATE("R10C",'Mapa final'!$O$67),"")</f>
        <v/>
      </c>
      <c r="T35" s="54" t="str">
        <f>IF(AND('Mapa final'!$Y$68="Media",'Mapa final'!$AA$68="Menor"),CONCATENATE("R10C",'Mapa final'!$O$68),"")</f>
        <v/>
      </c>
      <c r="U35" s="55" t="str">
        <f>IF(AND('Mapa final'!$Y$69="Media",'Mapa final'!$AA$69="Menor"),CONCATENATE("R10C",'Mapa final'!$O$69),"")</f>
        <v/>
      </c>
      <c r="V35" s="53" t="str">
        <f>IF(AND('Mapa final'!$Y$64="Media",'Mapa final'!$AA$64="Moderado"),CONCATENATE("R10C",'Mapa final'!$O$64),"")</f>
        <v/>
      </c>
      <c r="W35" s="54" t="str">
        <f>IF(AND('Mapa final'!$Y$65="Media",'Mapa final'!$AA$65="Moderado"),CONCATENATE("R10C",'Mapa final'!$O$65),"")</f>
        <v/>
      </c>
      <c r="X35" s="54" t="str">
        <f>IF(AND('Mapa final'!$Y$66="Media",'Mapa final'!$AA$66="Moderado"),CONCATENATE("R10C",'Mapa final'!$O$66),"")</f>
        <v/>
      </c>
      <c r="Y35" s="54" t="str">
        <f>IF(AND('Mapa final'!$Y$67="Media",'Mapa final'!$AA$67="Moderado"),CONCATENATE("R10C",'Mapa final'!$O$67),"")</f>
        <v/>
      </c>
      <c r="Z35" s="54" t="str">
        <f>IF(AND('Mapa final'!$Y$68="Media",'Mapa final'!$AA$68="Moderado"),CONCATENATE("R10C",'Mapa final'!$O$68),"")</f>
        <v/>
      </c>
      <c r="AA35" s="55" t="str">
        <f>IF(AND('Mapa final'!$Y$69="Media",'Mapa final'!$AA$69="Moderado"),CONCATENATE("R10C",'Mapa final'!$O$69),"")</f>
        <v/>
      </c>
      <c r="AB35" s="44" t="str">
        <f>IF(AND('Mapa final'!$Y$64="Media",'Mapa final'!$AA$64="Mayor"),CONCATENATE("R10C",'Mapa final'!$O$64),"")</f>
        <v/>
      </c>
      <c r="AC35" s="45" t="str">
        <f>IF(AND('Mapa final'!$Y$65="Media",'Mapa final'!$AA$65="Mayor"),CONCATENATE("R10C",'Mapa final'!$O$65),"")</f>
        <v/>
      </c>
      <c r="AD35" s="45" t="str">
        <f>IF(AND('Mapa final'!$Y$66="Media",'Mapa final'!$AA$66="Mayor"),CONCATENATE("R10C",'Mapa final'!$O$66),"")</f>
        <v/>
      </c>
      <c r="AE35" s="45" t="str">
        <f>IF(AND('Mapa final'!$Y$67="Media",'Mapa final'!$AA$67="Mayor"),CONCATENATE("R10C",'Mapa final'!$O$67),"")</f>
        <v/>
      </c>
      <c r="AF35" s="45" t="str">
        <f>IF(AND('Mapa final'!$Y$68="Media",'Mapa final'!$AA$68="Mayor"),CONCATENATE("R10C",'Mapa final'!$O$68),"")</f>
        <v/>
      </c>
      <c r="AG35" s="46" t="str">
        <f>IF(AND('Mapa final'!$Y$69="Media",'Mapa final'!$AA$69="Mayor"),CONCATENATE("R10C",'Mapa final'!$O$69),"")</f>
        <v/>
      </c>
      <c r="AH35" s="47" t="str">
        <f>IF(AND('Mapa final'!$Y$64="Media",'Mapa final'!$AA$64="Catastrófico"),CONCATENATE("R10C",'Mapa final'!$O$64),"")</f>
        <v/>
      </c>
      <c r="AI35" s="48" t="str">
        <f>IF(AND('Mapa final'!$Y$65="Media",'Mapa final'!$AA$65="Catastrófico"),CONCATENATE("R10C",'Mapa final'!$O$65),"")</f>
        <v/>
      </c>
      <c r="AJ35" s="48" t="str">
        <f>IF(AND('Mapa final'!$Y$66="Media",'Mapa final'!$AA$66="Catastrófico"),CONCATENATE("R10C",'Mapa final'!$O$66),"")</f>
        <v/>
      </c>
      <c r="AK35" s="48" t="str">
        <f>IF(AND('Mapa final'!$Y$67="Media",'Mapa final'!$AA$67="Catastrófico"),CONCATENATE("R10C",'Mapa final'!$O$67),"")</f>
        <v/>
      </c>
      <c r="AL35" s="48" t="str">
        <f>IF(AND('Mapa final'!$Y$68="Media",'Mapa final'!$AA$68="Catastrófico"),CONCATENATE("R10C",'Mapa final'!$O$68),"")</f>
        <v/>
      </c>
      <c r="AM35" s="49" t="str">
        <f>IF(AND('Mapa final'!$Y$69="Media",'Mapa final'!$AA$69="Catastrófico"),CONCATENATE("R10C",'Mapa final'!$O$69),"")</f>
        <v/>
      </c>
      <c r="AN35" s="69"/>
      <c r="AO35" s="433"/>
      <c r="AP35" s="434"/>
      <c r="AQ35" s="434"/>
      <c r="AR35" s="434"/>
      <c r="AS35" s="434"/>
      <c r="AT35" s="435"/>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349"/>
      <c r="C36" s="349"/>
      <c r="D36" s="350"/>
      <c r="E36" s="387" t="s">
        <v>114</v>
      </c>
      <c r="F36" s="388"/>
      <c r="G36" s="388"/>
      <c r="H36" s="388"/>
      <c r="I36" s="388"/>
      <c r="J36" s="59" t="str">
        <f>IF(AND('Mapa final'!$Y$10="Baja",'Mapa final'!$AA$10="Leve"),CONCATENATE("R1C",'Mapa final'!$O$10),"")</f>
        <v/>
      </c>
      <c r="K36" s="60" t="str">
        <f>IF(AND('Mapa final'!$Y$11="Baja",'Mapa final'!$AA$11="Leve"),CONCATENATE("R1C",'Mapa final'!$O$11),"")</f>
        <v/>
      </c>
      <c r="L36" s="60" t="str">
        <f>IF(AND('Mapa final'!$Y$12="Baja",'Mapa final'!$AA$12="Leve"),CONCATENATE("R1C",'Mapa final'!$O$12),"")</f>
        <v/>
      </c>
      <c r="M36" s="60" t="str">
        <f>IF(AND('Mapa final'!$Y$13="Baja",'Mapa final'!$AA$13="Leve"),CONCATENATE("R1C",'Mapa final'!$O$13),"")</f>
        <v/>
      </c>
      <c r="N36" s="60" t="str">
        <f>IF(AND('Mapa final'!$Y$14="Baja",'Mapa final'!$AA$14="Leve"),CONCATENATE("R1C",'Mapa final'!$O$14),"")</f>
        <v/>
      </c>
      <c r="O36" s="61" t="str">
        <f>IF(AND('Mapa final'!$Y$15="Baja",'Mapa final'!$AA$15="Leve"),CONCATENATE("R1C",'Mapa final'!$O$15),"")</f>
        <v/>
      </c>
      <c r="P36" s="50" t="str">
        <f>IF(AND('Mapa final'!$Y$10="Baja",'Mapa final'!$AA$10="Menor"),CONCATENATE("R1C",'Mapa final'!$O$10),"")</f>
        <v/>
      </c>
      <c r="Q36" s="51" t="str">
        <f>IF(AND('Mapa final'!$Y$11="Baja",'Mapa final'!$AA$11="Menor"),CONCATENATE("R1C",'Mapa final'!$O$11),"")</f>
        <v/>
      </c>
      <c r="R36" s="51" t="str">
        <f>IF(AND('Mapa final'!$Y$12="Baja",'Mapa final'!$AA$12="Menor"),CONCATENATE("R1C",'Mapa final'!$O$12),"")</f>
        <v/>
      </c>
      <c r="S36" s="51" t="str">
        <f>IF(AND('Mapa final'!$Y$13="Baja",'Mapa final'!$AA$13="Menor"),CONCATENATE("R1C",'Mapa final'!$O$13),"")</f>
        <v/>
      </c>
      <c r="T36" s="51" t="str">
        <f>IF(AND('Mapa final'!$Y$14="Baja",'Mapa final'!$AA$14="Menor"),CONCATENATE("R1C",'Mapa final'!$O$14),"")</f>
        <v/>
      </c>
      <c r="U36" s="52" t="str">
        <f>IF(AND('Mapa final'!$Y$15="Baja",'Mapa final'!$AA$15="Menor"),CONCATENATE("R1C",'Mapa final'!$O$15),"")</f>
        <v/>
      </c>
      <c r="V36" s="50" t="str">
        <f>IF(AND('Mapa final'!$Y$10="Baja",'Mapa final'!$AA$10="Moderado"),CONCATENATE("R1C",'Mapa final'!$O$10),"")</f>
        <v>R1C26</v>
      </c>
      <c r="W36" s="51" t="str">
        <f>IF(AND('Mapa final'!$Y$11="Baja",'Mapa final'!$AA$11="Moderado"),CONCATENATE("R1C",'Mapa final'!$O$11),"")</f>
        <v/>
      </c>
      <c r="X36" s="51" t="str">
        <f>IF(AND('Mapa final'!$Y$12="Baja",'Mapa final'!$AA$12="Moderado"),CONCATENATE("R1C",'Mapa final'!$O$12),"")</f>
        <v/>
      </c>
      <c r="Y36" s="51" t="str">
        <f>IF(AND('Mapa final'!$Y$13="Baja",'Mapa final'!$AA$13="Moderado"),CONCATENATE("R1C",'Mapa final'!$O$13),"")</f>
        <v/>
      </c>
      <c r="Z36" s="51" t="str">
        <f>IF(AND('Mapa final'!$Y$14="Baja",'Mapa final'!$AA$14="Moderado"),CONCATENATE("R1C",'Mapa final'!$O$14),"")</f>
        <v/>
      </c>
      <c r="AA36" s="52" t="str">
        <f>IF(AND('Mapa final'!$Y$15="Baja",'Mapa final'!$AA$15="Moderado"),CONCATENATE("R1C",'Mapa final'!$O$15),"")</f>
        <v/>
      </c>
      <c r="AB36" s="32" t="str">
        <f>IF(AND('Mapa final'!$Y$10="Baja",'Mapa final'!$AA$10="Mayor"),CONCATENATE("R1C",'Mapa final'!$O$10),"")</f>
        <v/>
      </c>
      <c r="AC36" s="33" t="str">
        <f>IF(AND('Mapa final'!$Y$11="Baja",'Mapa final'!$AA$11="Mayor"),CONCATENATE("R1C",'Mapa final'!$O$11),"")</f>
        <v/>
      </c>
      <c r="AD36" s="33" t="str">
        <f>IF(AND('Mapa final'!$Y$12="Baja",'Mapa final'!$AA$12="Mayor"),CONCATENATE("R1C",'Mapa final'!$O$12),"")</f>
        <v/>
      </c>
      <c r="AE36" s="33" t="str">
        <f>IF(AND('Mapa final'!$Y$13="Baja",'Mapa final'!$AA$13="Mayor"),CONCATENATE("R1C",'Mapa final'!$O$13),"")</f>
        <v/>
      </c>
      <c r="AF36" s="33" t="str">
        <f>IF(AND('Mapa final'!$Y$14="Baja",'Mapa final'!$AA$14="Mayor"),CONCATENATE("R1C",'Mapa final'!$O$14),"")</f>
        <v/>
      </c>
      <c r="AG36" s="34" t="str">
        <f>IF(AND('Mapa final'!$Y$15="Baja",'Mapa final'!$AA$15="Mayor"),CONCATENATE("R1C",'Mapa final'!$O$15),"")</f>
        <v/>
      </c>
      <c r="AH36" s="35" t="str">
        <f>IF(AND('Mapa final'!$Y$10="Baja",'Mapa final'!$AA$10="Catastrófico"),CONCATENATE("R1C",'Mapa final'!$O$10),"")</f>
        <v/>
      </c>
      <c r="AI36" s="36" t="str">
        <f>IF(AND('Mapa final'!$Y$11="Baja",'Mapa final'!$AA$11="Catastrófico"),CONCATENATE("R1C",'Mapa final'!$O$11),"")</f>
        <v/>
      </c>
      <c r="AJ36" s="36" t="str">
        <f>IF(AND('Mapa final'!$Y$12="Baja",'Mapa final'!$AA$12="Catastrófico"),CONCATENATE("R1C",'Mapa final'!$O$12),"")</f>
        <v/>
      </c>
      <c r="AK36" s="36" t="str">
        <f>IF(AND('Mapa final'!$Y$13="Baja",'Mapa final'!$AA$13="Catastrófico"),CONCATENATE("R1C",'Mapa final'!$O$13),"")</f>
        <v/>
      </c>
      <c r="AL36" s="36" t="str">
        <f>IF(AND('Mapa final'!$Y$14="Baja",'Mapa final'!$AA$14="Catastrófico"),CONCATENATE("R1C",'Mapa final'!$O$14),"")</f>
        <v/>
      </c>
      <c r="AM36" s="37" t="str">
        <f>IF(AND('Mapa final'!$Y$15="Baja",'Mapa final'!$AA$15="Catastrófico"),CONCATENATE("R1C",'Mapa final'!$O$15),"")</f>
        <v/>
      </c>
      <c r="AN36" s="69"/>
      <c r="AO36" s="418" t="s">
        <v>82</v>
      </c>
      <c r="AP36" s="419"/>
      <c r="AQ36" s="419"/>
      <c r="AR36" s="419"/>
      <c r="AS36" s="419"/>
      <c r="AT36" s="420"/>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349"/>
      <c r="C37" s="349"/>
      <c r="D37" s="350"/>
      <c r="E37" s="406"/>
      <c r="F37" s="391"/>
      <c r="G37" s="391"/>
      <c r="H37" s="391"/>
      <c r="I37" s="391"/>
      <c r="J37" s="62" t="str">
        <f>IF(AND('Mapa final'!$Y$16="Baja",'Mapa final'!$AA$16="Leve"),CONCATENATE("R2C",'Mapa final'!$O$16),"")</f>
        <v/>
      </c>
      <c r="K37" s="63" t="str">
        <f>IF(AND('Mapa final'!$Y$17="Baja",'Mapa final'!$AA$17="Leve"),CONCATENATE("R2C",'Mapa final'!$O$17),"")</f>
        <v/>
      </c>
      <c r="L37" s="63" t="str">
        <f>IF(AND('Mapa final'!$Y$18="Baja",'Mapa final'!$AA$18="Leve"),CONCATENATE("R2C",'Mapa final'!$O$18),"")</f>
        <v/>
      </c>
      <c r="M37" s="63" t="str">
        <f>IF(AND('Mapa final'!$Y$19="Baja",'Mapa final'!$AA$19="Leve"),CONCATENATE("R2C",'Mapa final'!$O$19),"")</f>
        <v/>
      </c>
      <c r="N37" s="63" t="str">
        <f>IF(AND('Mapa final'!$Y$20="Baja",'Mapa final'!$AA$20="Leve"),CONCATENATE("R2C",'Mapa final'!$O$20),"")</f>
        <v/>
      </c>
      <c r="O37" s="64" t="str">
        <f>IF(AND('Mapa final'!$Y$21="Baja",'Mapa final'!$AA$21="Leve"),CONCATENATE("R2C",'Mapa final'!$O$21),"")</f>
        <v/>
      </c>
      <c r="P37" s="53" t="str">
        <f>IF(AND('Mapa final'!$Y$16="Baja",'Mapa final'!$AA$16="Menor"),CONCATENATE("R2C",'Mapa final'!$O$16),"")</f>
        <v/>
      </c>
      <c r="Q37" s="54" t="str">
        <f>IF(AND('Mapa final'!$Y$17="Baja",'Mapa final'!$AA$17="Menor"),CONCATENATE("R2C",'Mapa final'!$O$17),"")</f>
        <v/>
      </c>
      <c r="R37" s="54" t="str">
        <f>IF(AND('Mapa final'!$Y$18="Baja",'Mapa final'!$AA$18="Menor"),CONCATENATE("R2C",'Mapa final'!$O$18),"")</f>
        <v/>
      </c>
      <c r="S37" s="54" t="str">
        <f>IF(AND('Mapa final'!$Y$19="Baja",'Mapa final'!$AA$19="Menor"),CONCATENATE("R2C",'Mapa final'!$O$19),"")</f>
        <v/>
      </c>
      <c r="T37" s="54" t="str">
        <f>IF(AND('Mapa final'!$Y$20="Baja",'Mapa final'!$AA$20="Menor"),CONCATENATE("R2C",'Mapa final'!$O$20),"")</f>
        <v/>
      </c>
      <c r="U37" s="55" t="str">
        <f>IF(AND('Mapa final'!$Y$21="Baja",'Mapa final'!$AA$21="Menor"),CONCATENATE("R2C",'Mapa final'!$O$21),"")</f>
        <v/>
      </c>
      <c r="V37" s="53" t="str">
        <f>IF(AND('Mapa final'!$Y$16="Baja",'Mapa final'!$AA$16="Moderado"),CONCATENATE("R2C",'Mapa final'!$O$16),"")</f>
        <v/>
      </c>
      <c r="W37" s="54" t="str">
        <f>IF(AND('Mapa final'!$Y$17="Baja",'Mapa final'!$AA$17="Moderado"),CONCATENATE("R2C",'Mapa final'!$O$17),"")</f>
        <v/>
      </c>
      <c r="X37" s="54" t="str">
        <f>IF(AND('Mapa final'!$Y$18="Baja",'Mapa final'!$AA$18="Moderado"),CONCATENATE("R2C",'Mapa final'!$O$18),"")</f>
        <v/>
      </c>
      <c r="Y37" s="54" t="str">
        <f>IF(AND('Mapa final'!$Y$19="Baja",'Mapa final'!$AA$19="Moderado"),CONCATENATE("R2C",'Mapa final'!$O$19),"")</f>
        <v/>
      </c>
      <c r="Z37" s="54" t="str">
        <f>IF(AND('Mapa final'!$Y$20="Baja",'Mapa final'!$AA$20="Moderado"),CONCATENATE("R2C",'Mapa final'!$O$20),"")</f>
        <v/>
      </c>
      <c r="AA37" s="55" t="str">
        <f>IF(AND('Mapa final'!$Y$21="Baja",'Mapa final'!$AA$21="Moderado"),CONCATENATE("R2C",'Mapa final'!$O$21),"")</f>
        <v/>
      </c>
      <c r="AB37" s="38" t="str">
        <f>IF(AND('Mapa final'!$Y$16="Baja",'Mapa final'!$AA$16="Mayor"),CONCATENATE("R2C",'Mapa final'!$O$16),"")</f>
        <v/>
      </c>
      <c r="AC37" s="39" t="str">
        <f>IF(AND('Mapa final'!$Y$17="Baja",'Mapa final'!$AA$17="Mayor"),CONCATENATE("R2C",'Mapa final'!$O$17),"")</f>
        <v/>
      </c>
      <c r="AD37" s="39" t="str">
        <f>IF(AND('Mapa final'!$Y$18="Baja",'Mapa final'!$AA$18="Mayor"),CONCATENATE("R2C",'Mapa final'!$O$18),"")</f>
        <v/>
      </c>
      <c r="AE37" s="39" t="str">
        <f>IF(AND('Mapa final'!$Y$19="Baja",'Mapa final'!$AA$19="Mayor"),CONCATENATE("R2C",'Mapa final'!$O$19),"")</f>
        <v/>
      </c>
      <c r="AF37" s="39" t="str">
        <f>IF(AND('Mapa final'!$Y$20="Baja",'Mapa final'!$AA$20="Mayor"),CONCATENATE("R2C",'Mapa final'!$O$20),"")</f>
        <v/>
      </c>
      <c r="AG37" s="40" t="str">
        <f>IF(AND('Mapa final'!$Y$21="Baja",'Mapa final'!$AA$21="Mayor"),CONCATENATE("R2C",'Mapa final'!$O$21),"")</f>
        <v/>
      </c>
      <c r="AH37" s="41" t="str">
        <f>IF(AND('Mapa final'!$Y$16="Baja",'Mapa final'!$AA$16="Catastrófico"),CONCATENATE("R2C",'Mapa final'!$O$16),"")</f>
        <v/>
      </c>
      <c r="AI37" s="42" t="str">
        <f>IF(AND('Mapa final'!$Y$17="Baja",'Mapa final'!$AA$17="Catastrófico"),CONCATENATE("R2C",'Mapa final'!$O$17),"")</f>
        <v/>
      </c>
      <c r="AJ37" s="42" t="str">
        <f>IF(AND('Mapa final'!$Y$18="Baja",'Mapa final'!$AA$18="Catastrófico"),CONCATENATE("R2C",'Mapa final'!$O$18),"")</f>
        <v/>
      </c>
      <c r="AK37" s="42" t="str">
        <f>IF(AND('Mapa final'!$Y$19="Baja",'Mapa final'!$AA$19="Catastrófico"),CONCATENATE("R2C",'Mapa final'!$O$19),"")</f>
        <v/>
      </c>
      <c r="AL37" s="42" t="str">
        <f>IF(AND('Mapa final'!$Y$20="Baja",'Mapa final'!$AA$20="Catastrófico"),CONCATENATE("R2C",'Mapa final'!$O$20),"")</f>
        <v/>
      </c>
      <c r="AM37" s="43" t="str">
        <f>IF(AND('Mapa final'!$Y$21="Baja",'Mapa final'!$AA$21="Catastrófico"),CONCATENATE("R2C",'Mapa final'!$O$21),"")</f>
        <v/>
      </c>
      <c r="AN37" s="69"/>
      <c r="AO37" s="421"/>
      <c r="AP37" s="422"/>
      <c r="AQ37" s="422"/>
      <c r="AR37" s="422"/>
      <c r="AS37" s="422"/>
      <c r="AT37" s="423"/>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349"/>
      <c r="C38" s="349"/>
      <c r="D38" s="350"/>
      <c r="E38" s="390"/>
      <c r="F38" s="391"/>
      <c r="G38" s="391"/>
      <c r="H38" s="391"/>
      <c r="I38" s="391"/>
      <c r="J38" s="62" t="str">
        <f>IF(AND('Mapa final'!$Y$22="Baja",'Mapa final'!$AA$22="Leve"),CONCATENATE("R3C",'Mapa final'!$O$22),"")</f>
        <v/>
      </c>
      <c r="K38" s="63" t="str">
        <f>IF(AND('Mapa final'!$Y$23="Baja",'Mapa final'!$AA$23="Leve"),CONCATENATE("R3C",'Mapa final'!$O$23),"")</f>
        <v/>
      </c>
      <c r="L38" s="63" t="str">
        <f>IF(AND('Mapa final'!$Y$24="Baja",'Mapa final'!$AA$24="Leve"),CONCATENATE("R3C",'Mapa final'!$O$24),"")</f>
        <v/>
      </c>
      <c r="M38" s="63" t="str">
        <f>IF(AND('Mapa final'!$Y$25="Baja",'Mapa final'!$AA$25="Leve"),CONCATENATE("R3C",'Mapa final'!$O$25),"")</f>
        <v/>
      </c>
      <c r="N38" s="63" t="str">
        <f>IF(AND('Mapa final'!$Y$26="Baja",'Mapa final'!$AA$26="Leve"),CONCATENATE("R3C",'Mapa final'!$O$26),"")</f>
        <v/>
      </c>
      <c r="O38" s="64" t="str">
        <f>IF(AND('Mapa final'!$Y$27="Baja",'Mapa final'!$AA$27="Leve"),CONCATENATE("R3C",'Mapa final'!$O$27),"")</f>
        <v/>
      </c>
      <c r="P38" s="53" t="str">
        <f>IF(AND('Mapa final'!$Y$22="Baja",'Mapa final'!$AA$22="Menor"),CONCATENATE("R3C",'Mapa final'!$O$22),"")</f>
        <v/>
      </c>
      <c r="Q38" s="54" t="str">
        <f>IF(AND('Mapa final'!$Y$23="Baja",'Mapa final'!$AA$23="Menor"),CONCATENATE("R3C",'Mapa final'!$O$23),"")</f>
        <v/>
      </c>
      <c r="R38" s="54" t="str">
        <f>IF(AND('Mapa final'!$Y$24="Baja",'Mapa final'!$AA$24="Menor"),CONCATENATE("R3C",'Mapa final'!$O$24),"")</f>
        <v/>
      </c>
      <c r="S38" s="54" t="str">
        <f>IF(AND('Mapa final'!$Y$25="Baja",'Mapa final'!$AA$25="Menor"),CONCATENATE("R3C",'Mapa final'!$O$25),"")</f>
        <v/>
      </c>
      <c r="T38" s="54" t="str">
        <f>IF(AND('Mapa final'!$Y$26="Baja",'Mapa final'!$AA$26="Menor"),CONCATENATE("R3C",'Mapa final'!$O$26),"")</f>
        <v/>
      </c>
      <c r="U38" s="55" t="str">
        <f>IF(AND('Mapa final'!$Y$27="Baja",'Mapa final'!$AA$27="Menor"),CONCATENATE("R3C",'Mapa final'!$O$27),"")</f>
        <v/>
      </c>
      <c r="V38" s="53" t="str">
        <f>IF(AND('Mapa final'!$Y$22="Baja",'Mapa final'!$AA$22="Moderado"),CONCATENATE("R3C",'Mapa final'!$O$22),"")</f>
        <v/>
      </c>
      <c r="W38" s="54" t="str">
        <f>IF(AND('Mapa final'!$Y$23="Baja",'Mapa final'!$AA$23="Moderado"),CONCATENATE("R3C",'Mapa final'!$O$23),"")</f>
        <v/>
      </c>
      <c r="X38" s="54" t="str">
        <f>IF(AND('Mapa final'!$Y$24="Baja",'Mapa final'!$AA$24="Moderado"),CONCATENATE("R3C",'Mapa final'!$O$24),"")</f>
        <v/>
      </c>
      <c r="Y38" s="54" t="str">
        <f>IF(AND('Mapa final'!$Y$25="Baja",'Mapa final'!$AA$25="Moderado"),CONCATENATE("R3C",'Mapa final'!$O$25),"")</f>
        <v/>
      </c>
      <c r="Z38" s="54" t="str">
        <f>IF(AND('Mapa final'!$Y$26="Baja",'Mapa final'!$AA$26="Moderado"),CONCATENATE("R3C",'Mapa final'!$O$26),"")</f>
        <v/>
      </c>
      <c r="AA38" s="55" t="str">
        <f>IF(AND('Mapa final'!$Y$27="Baja",'Mapa final'!$AA$27="Moderado"),CONCATENATE("R3C",'Mapa final'!$O$27),"")</f>
        <v/>
      </c>
      <c r="AB38" s="38" t="str">
        <f>IF(AND('Mapa final'!$Y$22="Baja",'Mapa final'!$AA$22="Mayor"),CONCATENATE("R3C",'Mapa final'!$O$22),"")</f>
        <v/>
      </c>
      <c r="AC38" s="39" t="str">
        <f>IF(AND('Mapa final'!$Y$23="Baja",'Mapa final'!$AA$23="Mayor"),CONCATENATE("R3C",'Mapa final'!$O$23),"")</f>
        <v/>
      </c>
      <c r="AD38" s="39" t="str">
        <f>IF(AND('Mapa final'!$Y$24="Baja",'Mapa final'!$AA$24="Mayor"),CONCATENATE("R3C",'Mapa final'!$O$24),"")</f>
        <v/>
      </c>
      <c r="AE38" s="39" t="str">
        <f>IF(AND('Mapa final'!$Y$25="Baja",'Mapa final'!$AA$25="Mayor"),CONCATENATE("R3C",'Mapa final'!$O$25),"")</f>
        <v/>
      </c>
      <c r="AF38" s="39" t="str">
        <f>IF(AND('Mapa final'!$Y$26="Baja",'Mapa final'!$AA$26="Mayor"),CONCATENATE("R3C",'Mapa final'!$O$26),"")</f>
        <v/>
      </c>
      <c r="AG38" s="40" t="str">
        <f>IF(AND('Mapa final'!$Y$27="Baja",'Mapa final'!$AA$27="Mayor"),CONCATENATE("R3C",'Mapa final'!$O$27),"")</f>
        <v/>
      </c>
      <c r="AH38" s="41" t="str">
        <f>IF(AND('Mapa final'!$Y$22="Baja",'Mapa final'!$AA$22="Catastrófico"),CONCATENATE("R3C",'Mapa final'!$O$22),"")</f>
        <v/>
      </c>
      <c r="AI38" s="42" t="str">
        <f>IF(AND('Mapa final'!$Y$23="Baja",'Mapa final'!$AA$23="Catastrófico"),CONCATENATE("R3C",'Mapa final'!$O$23),"")</f>
        <v/>
      </c>
      <c r="AJ38" s="42" t="str">
        <f>IF(AND('Mapa final'!$Y$24="Baja",'Mapa final'!$AA$24="Catastrófico"),CONCATENATE("R3C",'Mapa final'!$O$24),"")</f>
        <v/>
      </c>
      <c r="AK38" s="42" t="str">
        <f>IF(AND('Mapa final'!$Y$25="Baja",'Mapa final'!$AA$25="Catastrófico"),CONCATENATE("R3C",'Mapa final'!$O$25),"")</f>
        <v/>
      </c>
      <c r="AL38" s="42" t="str">
        <f>IF(AND('Mapa final'!$Y$26="Baja",'Mapa final'!$AA$26="Catastrófico"),CONCATENATE("R3C",'Mapa final'!$O$26),"")</f>
        <v/>
      </c>
      <c r="AM38" s="43" t="str">
        <f>IF(AND('Mapa final'!$Y$27="Baja",'Mapa final'!$AA$27="Catastrófico"),CONCATENATE("R3C",'Mapa final'!$O$27),"")</f>
        <v/>
      </c>
      <c r="AN38" s="69"/>
      <c r="AO38" s="421"/>
      <c r="AP38" s="422"/>
      <c r="AQ38" s="422"/>
      <c r="AR38" s="422"/>
      <c r="AS38" s="422"/>
      <c r="AT38" s="423"/>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349"/>
      <c r="C39" s="349"/>
      <c r="D39" s="350"/>
      <c r="E39" s="390"/>
      <c r="F39" s="391"/>
      <c r="G39" s="391"/>
      <c r="H39" s="391"/>
      <c r="I39" s="391"/>
      <c r="J39" s="62" t="str">
        <f>IF(AND('Mapa final'!$Y$28="Baja",'Mapa final'!$AA$28="Leve"),CONCATENATE("R4C",'Mapa final'!$O$28),"")</f>
        <v/>
      </c>
      <c r="K39" s="63" t="str">
        <f>IF(AND('Mapa final'!$Y$29="Baja",'Mapa final'!$AA$29="Leve"),CONCATENATE("R4C",'Mapa final'!$O$29),"")</f>
        <v/>
      </c>
      <c r="L39" s="63" t="str">
        <f>IF(AND('Mapa final'!$Y$30="Baja",'Mapa final'!$AA$30="Leve"),CONCATENATE("R4C",'Mapa final'!$O$30),"")</f>
        <v/>
      </c>
      <c r="M39" s="63" t="str">
        <f>IF(AND('Mapa final'!$Y$31="Baja",'Mapa final'!$AA$31="Leve"),CONCATENATE("R4C",'Mapa final'!$O$31),"")</f>
        <v/>
      </c>
      <c r="N39" s="63" t="str">
        <f>IF(AND('Mapa final'!$Y$32="Baja",'Mapa final'!$AA$32="Leve"),CONCATENATE("R4C",'Mapa final'!$O$32),"")</f>
        <v/>
      </c>
      <c r="O39" s="64" t="str">
        <f>IF(AND('Mapa final'!$Y$33="Baja",'Mapa final'!$AA$33="Leve"),CONCATENATE("R4C",'Mapa final'!$O$33),"")</f>
        <v/>
      </c>
      <c r="P39" s="53" t="str">
        <f>IF(AND('Mapa final'!$Y$28="Baja",'Mapa final'!$AA$28="Menor"),CONCATENATE("R4C",'Mapa final'!$O$28),"")</f>
        <v/>
      </c>
      <c r="Q39" s="54" t="str">
        <f>IF(AND('Mapa final'!$Y$29="Baja",'Mapa final'!$AA$29="Menor"),CONCATENATE("R4C",'Mapa final'!$O$29),"")</f>
        <v/>
      </c>
      <c r="R39" s="54" t="str">
        <f>IF(AND('Mapa final'!$Y$30="Baja",'Mapa final'!$AA$30="Menor"),CONCATENATE("R4C",'Mapa final'!$O$30),"")</f>
        <v/>
      </c>
      <c r="S39" s="54" t="str">
        <f>IF(AND('Mapa final'!$Y$31="Baja",'Mapa final'!$AA$31="Menor"),CONCATENATE("R4C",'Mapa final'!$O$31),"")</f>
        <v/>
      </c>
      <c r="T39" s="54" t="str">
        <f>IF(AND('Mapa final'!$Y$32="Baja",'Mapa final'!$AA$32="Menor"),CONCATENATE("R4C",'Mapa final'!$O$32),"")</f>
        <v/>
      </c>
      <c r="U39" s="55" t="str">
        <f>IF(AND('Mapa final'!$Y$33="Baja",'Mapa final'!$AA$33="Menor"),CONCATENATE("R4C",'Mapa final'!$O$33),"")</f>
        <v/>
      </c>
      <c r="V39" s="53" t="str">
        <f>IF(AND('Mapa final'!$Y$28="Baja",'Mapa final'!$AA$28="Moderado"),CONCATENATE("R4C",'Mapa final'!$O$28),"")</f>
        <v/>
      </c>
      <c r="W39" s="54" t="str">
        <f>IF(AND('Mapa final'!$Y$29="Baja",'Mapa final'!$AA$29="Moderado"),CONCATENATE("R4C",'Mapa final'!$O$29),"")</f>
        <v/>
      </c>
      <c r="X39" s="54" t="str">
        <f>IF(AND('Mapa final'!$Y$30="Baja",'Mapa final'!$AA$30="Moderado"),CONCATENATE("R4C",'Mapa final'!$O$30),"")</f>
        <v/>
      </c>
      <c r="Y39" s="54" t="str">
        <f>IF(AND('Mapa final'!$Y$31="Baja",'Mapa final'!$AA$31="Moderado"),CONCATENATE("R4C",'Mapa final'!$O$31),"")</f>
        <v/>
      </c>
      <c r="Z39" s="54" t="str">
        <f>IF(AND('Mapa final'!$Y$32="Baja",'Mapa final'!$AA$32="Moderado"),CONCATENATE("R4C",'Mapa final'!$O$32),"")</f>
        <v/>
      </c>
      <c r="AA39" s="55" t="str">
        <f>IF(AND('Mapa final'!$Y$33="Baja",'Mapa final'!$AA$33="Moderado"),CONCATENATE("R4C",'Mapa final'!$O$33),"")</f>
        <v/>
      </c>
      <c r="AB39" s="38" t="str">
        <f>IF(AND('Mapa final'!$Y$28="Baja",'Mapa final'!$AA$28="Mayor"),CONCATENATE("R4C",'Mapa final'!$O$28),"")</f>
        <v/>
      </c>
      <c r="AC39" s="39" t="str">
        <f>IF(AND('Mapa final'!$Y$29="Baja",'Mapa final'!$AA$29="Mayor"),CONCATENATE("R4C",'Mapa final'!$O$29),"")</f>
        <v/>
      </c>
      <c r="AD39" s="39" t="str">
        <f>IF(AND('Mapa final'!$Y$30="Baja",'Mapa final'!$AA$30="Mayor"),CONCATENATE("R4C",'Mapa final'!$O$30),"")</f>
        <v/>
      </c>
      <c r="AE39" s="39" t="str">
        <f>IF(AND('Mapa final'!$Y$31="Baja",'Mapa final'!$AA$31="Mayor"),CONCATENATE("R4C",'Mapa final'!$O$31),"")</f>
        <v/>
      </c>
      <c r="AF39" s="39" t="str">
        <f>IF(AND('Mapa final'!$Y$32="Baja",'Mapa final'!$AA$32="Mayor"),CONCATENATE("R4C",'Mapa final'!$O$32),"")</f>
        <v/>
      </c>
      <c r="AG39" s="40" t="str">
        <f>IF(AND('Mapa final'!$Y$33="Baja",'Mapa final'!$AA$33="Mayor"),CONCATENATE("R4C",'Mapa final'!$O$33),"")</f>
        <v/>
      </c>
      <c r="AH39" s="41" t="str">
        <f>IF(AND('Mapa final'!$Y$28="Baja",'Mapa final'!$AA$28="Catastrófico"),CONCATENATE("R4C",'Mapa final'!$O$28),"")</f>
        <v/>
      </c>
      <c r="AI39" s="42" t="str">
        <f>IF(AND('Mapa final'!$Y$29="Baja",'Mapa final'!$AA$29="Catastrófico"),CONCATENATE("R4C",'Mapa final'!$O$29),"")</f>
        <v/>
      </c>
      <c r="AJ39" s="42" t="str">
        <f>IF(AND('Mapa final'!$Y$30="Baja",'Mapa final'!$AA$30="Catastrófico"),CONCATENATE("R4C",'Mapa final'!$O$30),"")</f>
        <v/>
      </c>
      <c r="AK39" s="42" t="str">
        <f>IF(AND('Mapa final'!$Y$31="Baja",'Mapa final'!$AA$31="Catastrófico"),CONCATENATE("R4C",'Mapa final'!$O$31),"")</f>
        <v/>
      </c>
      <c r="AL39" s="42" t="str">
        <f>IF(AND('Mapa final'!$Y$32="Baja",'Mapa final'!$AA$32="Catastrófico"),CONCATENATE("R4C",'Mapa final'!$O$32),"")</f>
        <v/>
      </c>
      <c r="AM39" s="43" t="str">
        <f>IF(AND('Mapa final'!$Y$33="Baja",'Mapa final'!$AA$33="Catastrófico"),CONCATENATE("R4C",'Mapa final'!$O$33),"")</f>
        <v/>
      </c>
      <c r="AN39" s="69"/>
      <c r="AO39" s="421"/>
      <c r="AP39" s="422"/>
      <c r="AQ39" s="422"/>
      <c r="AR39" s="422"/>
      <c r="AS39" s="422"/>
      <c r="AT39" s="423"/>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349"/>
      <c r="C40" s="349"/>
      <c r="D40" s="350"/>
      <c r="E40" s="390"/>
      <c r="F40" s="391"/>
      <c r="G40" s="391"/>
      <c r="H40" s="391"/>
      <c r="I40" s="391"/>
      <c r="J40" s="62" t="str">
        <f>IF(AND('Mapa final'!$Y$34="Baja",'Mapa final'!$AA$34="Leve"),CONCATENATE("R5C",'Mapa final'!$O$34),"")</f>
        <v/>
      </c>
      <c r="K40" s="63" t="str">
        <f>IF(AND('Mapa final'!$Y$35="Baja",'Mapa final'!$AA$35="Leve"),CONCATENATE("R5C",'Mapa final'!$O$35),"")</f>
        <v/>
      </c>
      <c r="L40" s="63" t="str">
        <f>IF(AND('Mapa final'!$Y$36="Baja",'Mapa final'!$AA$36="Leve"),CONCATENATE("R5C",'Mapa final'!$O$36),"")</f>
        <v/>
      </c>
      <c r="M40" s="63" t="str">
        <f>IF(AND('Mapa final'!$Y$37="Baja",'Mapa final'!$AA$37="Leve"),CONCATENATE("R5C",'Mapa final'!$O$37),"")</f>
        <v/>
      </c>
      <c r="N40" s="63" t="str">
        <f>IF(AND('Mapa final'!$Y$38="Baja",'Mapa final'!$AA$38="Leve"),CONCATENATE("R5C",'Mapa final'!$O$38),"")</f>
        <v/>
      </c>
      <c r="O40" s="64" t="str">
        <f>IF(AND('Mapa final'!$Y$39="Baja",'Mapa final'!$AA$39="Leve"),CONCATENATE("R5C",'Mapa final'!$O$39),"")</f>
        <v/>
      </c>
      <c r="P40" s="53" t="str">
        <f>IF(AND('Mapa final'!$Y$34="Baja",'Mapa final'!$AA$34="Menor"),CONCATENATE("R5C",'Mapa final'!$O$34),"")</f>
        <v/>
      </c>
      <c r="Q40" s="54" t="str">
        <f>IF(AND('Mapa final'!$Y$35="Baja",'Mapa final'!$AA$35="Menor"),CONCATENATE("R5C",'Mapa final'!$O$35),"")</f>
        <v/>
      </c>
      <c r="R40" s="54" t="str">
        <f>IF(AND('Mapa final'!$Y$36="Baja",'Mapa final'!$AA$36="Menor"),CONCATENATE("R5C",'Mapa final'!$O$36),"")</f>
        <v/>
      </c>
      <c r="S40" s="54" t="str">
        <f>IF(AND('Mapa final'!$Y$37="Baja",'Mapa final'!$AA$37="Menor"),CONCATENATE("R5C",'Mapa final'!$O$37),"")</f>
        <v/>
      </c>
      <c r="T40" s="54" t="str">
        <f>IF(AND('Mapa final'!$Y$38="Baja",'Mapa final'!$AA$38="Menor"),CONCATENATE("R5C",'Mapa final'!$O$38),"")</f>
        <v/>
      </c>
      <c r="U40" s="55" t="str">
        <f>IF(AND('Mapa final'!$Y$39="Baja",'Mapa final'!$AA$39="Menor"),CONCATENATE("R5C",'Mapa final'!$O$39),"")</f>
        <v/>
      </c>
      <c r="V40" s="53" t="str">
        <f>IF(AND('Mapa final'!$Y$34="Baja",'Mapa final'!$AA$34="Moderado"),CONCATENATE("R5C",'Mapa final'!$O$34),"")</f>
        <v/>
      </c>
      <c r="W40" s="54" t="str">
        <f>IF(AND('Mapa final'!$Y$35="Baja",'Mapa final'!$AA$35="Moderado"),CONCATENATE("R5C",'Mapa final'!$O$35),"")</f>
        <v/>
      </c>
      <c r="X40" s="54" t="str">
        <f>IF(AND('Mapa final'!$Y$36="Baja",'Mapa final'!$AA$36="Moderado"),CONCATENATE("R5C",'Mapa final'!$O$36),"")</f>
        <v/>
      </c>
      <c r="Y40" s="54" t="str">
        <f>IF(AND('Mapa final'!$Y$37="Baja",'Mapa final'!$AA$37="Moderado"),CONCATENATE("R5C",'Mapa final'!$O$37),"")</f>
        <v/>
      </c>
      <c r="Z40" s="54" t="str">
        <f>IF(AND('Mapa final'!$Y$38="Baja",'Mapa final'!$AA$38="Moderado"),CONCATENATE("R5C",'Mapa final'!$O$38),"")</f>
        <v/>
      </c>
      <c r="AA40" s="55" t="str">
        <f>IF(AND('Mapa final'!$Y$39="Baja",'Mapa final'!$AA$39="Moderado"),CONCATENATE("R5C",'Mapa final'!$O$39),"")</f>
        <v/>
      </c>
      <c r="AB40" s="38" t="str">
        <f>IF(AND('Mapa final'!$Y$34="Baja",'Mapa final'!$AA$34="Mayor"),CONCATENATE("R5C",'Mapa final'!$O$34),"")</f>
        <v/>
      </c>
      <c r="AC40" s="39" t="str">
        <f>IF(AND('Mapa final'!$Y$35="Baja",'Mapa final'!$AA$35="Mayor"),CONCATENATE("R5C",'Mapa final'!$O$35),"")</f>
        <v/>
      </c>
      <c r="AD40" s="39" t="str">
        <f>IF(AND('Mapa final'!$Y$36="Baja",'Mapa final'!$AA$36="Mayor"),CONCATENATE("R5C",'Mapa final'!$O$36),"")</f>
        <v/>
      </c>
      <c r="AE40" s="39" t="str">
        <f>IF(AND('Mapa final'!$Y$37="Baja",'Mapa final'!$AA$37="Mayor"),CONCATENATE("R5C",'Mapa final'!$O$37),"")</f>
        <v/>
      </c>
      <c r="AF40" s="39" t="str">
        <f>IF(AND('Mapa final'!$Y$38="Baja",'Mapa final'!$AA$38="Mayor"),CONCATENATE("R5C",'Mapa final'!$O$38),"")</f>
        <v/>
      </c>
      <c r="AG40" s="40" t="str">
        <f>IF(AND('Mapa final'!$Y$39="Baja",'Mapa final'!$AA$39="Mayor"),CONCATENATE("R5C",'Mapa final'!$O$39),"")</f>
        <v/>
      </c>
      <c r="AH40" s="41" t="str">
        <f>IF(AND('Mapa final'!$Y$34="Baja",'Mapa final'!$AA$34="Catastrófico"),CONCATENATE("R5C",'Mapa final'!$O$34),"")</f>
        <v/>
      </c>
      <c r="AI40" s="42" t="str">
        <f>IF(AND('Mapa final'!$Y$35="Baja",'Mapa final'!$AA$35="Catastrófico"),CONCATENATE("R5C",'Mapa final'!$O$35),"")</f>
        <v/>
      </c>
      <c r="AJ40" s="42" t="str">
        <f>IF(AND('Mapa final'!$Y$36="Baja",'Mapa final'!$AA$36="Catastrófico"),CONCATENATE("R5C",'Mapa final'!$O$36),"")</f>
        <v/>
      </c>
      <c r="AK40" s="42" t="str">
        <f>IF(AND('Mapa final'!$Y$37="Baja",'Mapa final'!$AA$37="Catastrófico"),CONCATENATE("R5C",'Mapa final'!$O$37),"")</f>
        <v/>
      </c>
      <c r="AL40" s="42" t="str">
        <f>IF(AND('Mapa final'!$Y$38="Baja",'Mapa final'!$AA$38="Catastrófico"),CONCATENATE("R5C",'Mapa final'!$O$38),"")</f>
        <v/>
      </c>
      <c r="AM40" s="43" t="str">
        <f>IF(AND('Mapa final'!$Y$39="Baja",'Mapa final'!$AA$39="Catastrófico"),CONCATENATE("R5C",'Mapa final'!$O$39),"")</f>
        <v/>
      </c>
      <c r="AN40" s="69"/>
      <c r="AO40" s="421"/>
      <c r="AP40" s="422"/>
      <c r="AQ40" s="422"/>
      <c r="AR40" s="422"/>
      <c r="AS40" s="422"/>
      <c r="AT40" s="423"/>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349"/>
      <c r="C41" s="349"/>
      <c r="D41" s="350"/>
      <c r="E41" s="390"/>
      <c r="F41" s="391"/>
      <c r="G41" s="391"/>
      <c r="H41" s="391"/>
      <c r="I41" s="391"/>
      <c r="J41" s="62" t="str">
        <f>IF(AND('Mapa final'!$Y$40="Baja",'Mapa final'!$AA$40="Leve"),CONCATENATE("R6C",'Mapa final'!$O$40),"")</f>
        <v/>
      </c>
      <c r="K41" s="63" t="str">
        <f>IF(AND('Mapa final'!$Y$41="Baja",'Mapa final'!$AA$41="Leve"),CONCATENATE("R6C",'Mapa final'!$O$41),"")</f>
        <v/>
      </c>
      <c r="L41" s="63" t="str">
        <f>IF(AND('Mapa final'!$Y$42="Baja",'Mapa final'!$AA$42="Leve"),CONCATENATE("R6C",'Mapa final'!$O$42),"")</f>
        <v/>
      </c>
      <c r="M41" s="63" t="str">
        <f>IF(AND('Mapa final'!$Y$43="Baja",'Mapa final'!$AA$43="Leve"),CONCATENATE("R6C",'Mapa final'!$O$43),"")</f>
        <v/>
      </c>
      <c r="N41" s="63" t="str">
        <f>IF(AND('Mapa final'!$Y$44="Baja",'Mapa final'!$AA$44="Leve"),CONCATENATE("R6C",'Mapa final'!$O$44),"")</f>
        <v/>
      </c>
      <c r="O41" s="64" t="str">
        <f>IF(AND('Mapa final'!$Y$45="Baja",'Mapa final'!$AA$45="Leve"),CONCATENATE("R6C",'Mapa final'!$O$45),"")</f>
        <v/>
      </c>
      <c r="P41" s="53" t="str">
        <f>IF(AND('Mapa final'!$Y$40="Baja",'Mapa final'!$AA$40="Menor"),CONCATENATE("R6C",'Mapa final'!$O$40),"")</f>
        <v/>
      </c>
      <c r="Q41" s="54" t="str">
        <f>IF(AND('Mapa final'!$Y$41="Baja",'Mapa final'!$AA$41="Menor"),CONCATENATE("R6C",'Mapa final'!$O$41),"")</f>
        <v/>
      </c>
      <c r="R41" s="54" t="str">
        <f>IF(AND('Mapa final'!$Y$42="Baja",'Mapa final'!$AA$42="Menor"),CONCATENATE("R6C",'Mapa final'!$O$42),"")</f>
        <v/>
      </c>
      <c r="S41" s="54" t="str">
        <f>IF(AND('Mapa final'!$Y$43="Baja",'Mapa final'!$AA$43="Menor"),CONCATENATE("R6C",'Mapa final'!$O$43),"")</f>
        <v/>
      </c>
      <c r="T41" s="54" t="str">
        <f>IF(AND('Mapa final'!$Y$44="Baja",'Mapa final'!$AA$44="Menor"),CONCATENATE("R6C",'Mapa final'!$O$44),"")</f>
        <v/>
      </c>
      <c r="U41" s="55" t="str">
        <f>IF(AND('Mapa final'!$Y$45="Baja",'Mapa final'!$AA$45="Menor"),CONCATENATE("R6C",'Mapa final'!$O$45),"")</f>
        <v/>
      </c>
      <c r="V41" s="53" t="str">
        <f>IF(AND('Mapa final'!$Y$40="Baja",'Mapa final'!$AA$40="Moderado"),CONCATENATE("R6C",'Mapa final'!$O$40),"")</f>
        <v/>
      </c>
      <c r="W41" s="54" t="str">
        <f>IF(AND('Mapa final'!$Y$41="Baja",'Mapa final'!$AA$41="Moderado"),CONCATENATE("R6C",'Mapa final'!$O$41),"")</f>
        <v/>
      </c>
      <c r="X41" s="54" t="str">
        <f>IF(AND('Mapa final'!$Y$42="Baja",'Mapa final'!$AA$42="Moderado"),CONCATENATE("R6C",'Mapa final'!$O$42),"")</f>
        <v/>
      </c>
      <c r="Y41" s="54" t="str">
        <f>IF(AND('Mapa final'!$Y$43="Baja",'Mapa final'!$AA$43="Moderado"),CONCATENATE("R6C",'Mapa final'!$O$43),"")</f>
        <v/>
      </c>
      <c r="Z41" s="54" t="str">
        <f>IF(AND('Mapa final'!$Y$44="Baja",'Mapa final'!$AA$44="Moderado"),CONCATENATE("R6C",'Mapa final'!$O$44),"")</f>
        <v/>
      </c>
      <c r="AA41" s="55" t="str">
        <f>IF(AND('Mapa final'!$Y$45="Baja",'Mapa final'!$AA$45="Moderado"),CONCATENATE("R6C",'Mapa final'!$O$45),"")</f>
        <v/>
      </c>
      <c r="AB41" s="38" t="str">
        <f>IF(AND('Mapa final'!$Y$40="Baja",'Mapa final'!$AA$40="Mayor"),CONCATENATE("R6C",'Mapa final'!$O$40),"")</f>
        <v/>
      </c>
      <c r="AC41" s="39" t="str">
        <f>IF(AND('Mapa final'!$Y$41="Baja",'Mapa final'!$AA$41="Mayor"),CONCATENATE("R6C",'Mapa final'!$O$41),"")</f>
        <v/>
      </c>
      <c r="AD41" s="39" t="str">
        <f>IF(AND('Mapa final'!$Y$42="Baja",'Mapa final'!$AA$42="Mayor"),CONCATENATE("R6C",'Mapa final'!$O$42),"")</f>
        <v/>
      </c>
      <c r="AE41" s="39" t="str">
        <f>IF(AND('Mapa final'!$Y$43="Baja",'Mapa final'!$AA$43="Mayor"),CONCATENATE("R6C",'Mapa final'!$O$43),"")</f>
        <v/>
      </c>
      <c r="AF41" s="39" t="str">
        <f>IF(AND('Mapa final'!$Y$44="Baja",'Mapa final'!$AA$44="Mayor"),CONCATENATE("R6C",'Mapa final'!$O$44),"")</f>
        <v/>
      </c>
      <c r="AG41" s="40" t="str">
        <f>IF(AND('Mapa final'!$Y$45="Baja",'Mapa final'!$AA$45="Mayor"),CONCATENATE("R6C",'Mapa final'!$O$45),"")</f>
        <v/>
      </c>
      <c r="AH41" s="41" t="str">
        <f>IF(AND('Mapa final'!$Y$40="Baja",'Mapa final'!$AA$40="Catastrófico"),CONCATENATE("R6C",'Mapa final'!$O$40),"")</f>
        <v/>
      </c>
      <c r="AI41" s="42" t="str">
        <f>IF(AND('Mapa final'!$Y$41="Baja",'Mapa final'!$AA$41="Catastrófico"),CONCATENATE("R6C",'Mapa final'!$O$41),"")</f>
        <v/>
      </c>
      <c r="AJ41" s="42" t="str">
        <f>IF(AND('Mapa final'!$Y$42="Baja",'Mapa final'!$AA$42="Catastrófico"),CONCATENATE("R6C",'Mapa final'!$O$42),"")</f>
        <v/>
      </c>
      <c r="AK41" s="42" t="str">
        <f>IF(AND('Mapa final'!$Y$43="Baja",'Mapa final'!$AA$43="Catastrófico"),CONCATENATE("R6C",'Mapa final'!$O$43),"")</f>
        <v/>
      </c>
      <c r="AL41" s="42" t="str">
        <f>IF(AND('Mapa final'!$Y$44="Baja",'Mapa final'!$AA$44="Catastrófico"),CONCATENATE("R6C",'Mapa final'!$O$44),"")</f>
        <v/>
      </c>
      <c r="AM41" s="43" t="str">
        <f>IF(AND('Mapa final'!$Y$45="Baja",'Mapa final'!$AA$45="Catastrófico"),CONCATENATE("R6C",'Mapa final'!$O$45),"")</f>
        <v/>
      </c>
      <c r="AN41" s="69"/>
      <c r="AO41" s="421"/>
      <c r="AP41" s="422"/>
      <c r="AQ41" s="422"/>
      <c r="AR41" s="422"/>
      <c r="AS41" s="422"/>
      <c r="AT41" s="423"/>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349"/>
      <c r="C42" s="349"/>
      <c r="D42" s="350"/>
      <c r="E42" s="390"/>
      <c r="F42" s="391"/>
      <c r="G42" s="391"/>
      <c r="H42" s="391"/>
      <c r="I42" s="391"/>
      <c r="J42" s="62" t="str">
        <f>IF(AND('Mapa final'!$Y$46="Baja",'Mapa final'!$AA$46="Leve"),CONCATENATE("R7C",'Mapa final'!$O$46),"")</f>
        <v/>
      </c>
      <c r="K42" s="63" t="str">
        <f>IF(AND('Mapa final'!$Y$47="Baja",'Mapa final'!$AA$47="Leve"),CONCATENATE("R7C",'Mapa final'!$O$47),"")</f>
        <v/>
      </c>
      <c r="L42" s="63" t="str">
        <f>IF(AND('Mapa final'!$Y$48="Baja",'Mapa final'!$AA$48="Leve"),CONCATENATE("R7C",'Mapa final'!$O$48),"")</f>
        <v/>
      </c>
      <c r="M42" s="63" t="str">
        <f>IF(AND('Mapa final'!$Y$49="Baja",'Mapa final'!$AA$49="Leve"),CONCATENATE("R7C",'Mapa final'!$O$49),"")</f>
        <v/>
      </c>
      <c r="N42" s="63" t="str">
        <f>IF(AND('Mapa final'!$Y$50="Baja",'Mapa final'!$AA$50="Leve"),CONCATENATE("R7C",'Mapa final'!$O$50),"")</f>
        <v/>
      </c>
      <c r="O42" s="64" t="str">
        <f>IF(AND('Mapa final'!$Y$51="Baja",'Mapa final'!$AA$51="Leve"),CONCATENATE("R7C",'Mapa final'!$O$51),"")</f>
        <v/>
      </c>
      <c r="P42" s="53" t="str">
        <f>IF(AND('Mapa final'!$Y$46="Baja",'Mapa final'!$AA$46="Menor"),CONCATENATE("R7C",'Mapa final'!$O$46),"")</f>
        <v/>
      </c>
      <c r="Q42" s="54" t="str">
        <f>IF(AND('Mapa final'!$Y$47="Baja",'Mapa final'!$AA$47="Menor"),CONCATENATE("R7C",'Mapa final'!$O$47),"")</f>
        <v/>
      </c>
      <c r="R42" s="54" t="str">
        <f>IF(AND('Mapa final'!$Y$48="Baja",'Mapa final'!$AA$48="Menor"),CONCATENATE("R7C",'Mapa final'!$O$48),"")</f>
        <v/>
      </c>
      <c r="S42" s="54" t="str">
        <f>IF(AND('Mapa final'!$Y$49="Baja",'Mapa final'!$AA$49="Menor"),CONCATENATE("R7C",'Mapa final'!$O$49),"")</f>
        <v/>
      </c>
      <c r="T42" s="54" t="str">
        <f>IF(AND('Mapa final'!$Y$50="Baja",'Mapa final'!$AA$50="Menor"),CONCATENATE("R7C",'Mapa final'!$O$50),"")</f>
        <v/>
      </c>
      <c r="U42" s="55" t="str">
        <f>IF(AND('Mapa final'!$Y$51="Baja",'Mapa final'!$AA$51="Menor"),CONCATENATE("R7C",'Mapa final'!$O$51),"")</f>
        <v/>
      </c>
      <c r="V42" s="53" t="str">
        <f>IF(AND('Mapa final'!$Y$46="Baja",'Mapa final'!$AA$46="Moderado"),CONCATENATE("R7C",'Mapa final'!$O$46),"")</f>
        <v/>
      </c>
      <c r="W42" s="54" t="str">
        <f>IF(AND('Mapa final'!$Y$47="Baja",'Mapa final'!$AA$47="Moderado"),CONCATENATE("R7C",'Mapa final'!$O$47),"")</f>
        <v/>
      </c>
      <c r="X42" s="54" t="str">
        <f>IF(AND('Mapa final'!$Y$48="Baja",'Mapa final'!$AA$48="Moderado"),CONCATENATE("R7C",'Mapa final'!$O$48),"")</f>
        <v/>
      </c>
      <c r="Y42" s="54" t="str">
        <f>IF(AND('Mapa final'!$Y$49="Baja",'Mapa final'!$AA$49="Moderado"),CONCATENATE("R7C",'Mapa final'!$O$49),"")</f>
        <v/>
      </c>
      <c r="Z42" s="54" t="str">
        <f>IF(AND('Mapa final'!$Y$50="Baja",'Mapa final'!$AA$50="Moderado"),CONCATENATE("R7C",'Mapa final'!$O$50),"")</f>
        <v/>
      </c>
      <c r="AA42" s="55" t="str">
        <f>IF(AND('Mapa final'!$Y$51="Baja",'Mapa final'!$AA$51="Moderado"),CONCATENATE("R7C",'Mapa final'!$O$51),"")</f>
        <v/>
      </c>
      <c r="AB42" s="38" t="str">
        <f>IF(AND('Mapa final'!$Y$46="Baja",'Mapa final'!$AA$46="Mayor"),CONCATENATE("R7C",'Mapa final'!$O$46),"")</f>
        <v/>
      </c>
      <c r="AC42" s="39" t="str">
        <f>IF(AND('Mapa final'!$Y$47="Baja",'Mapa final'!$AA$47="Mayor"),CONCATENATE("R7C",'Mapa final'!$O$47),"")</f>
        <v/>
      </c>
      <c r="AD42" s="39" t="str">
        <f>IF(AND('Mapa final'!$Y$48="Baja",'Mapa final'!$AA$48="Mayor"),CONCATENATE("R7C",'Mapa final'!$O$48),"")</f>
        <v/>
      </c>
      <c r="AE42" s="39" t="str">
        <f>IF(AND('Mapa final'!$Y$49="Baja",'Mapa final'!$AA$49="Mayor"),CONCATENATE("R7C",'Mapa final'!$O$49),"")</f>
        <v/>
      </c>
      <c r="AF42" s="39" t="str">
        <f>IF(AND('Mapa final'!$Y$50="Baja",'Mapa final'!$AA$50="Mayor"),CONCATENATE("R7C",'Mapa final'!$O$50),"")</f>
        <v/>
      </c>
      <c r="AG42" s="40" t="str">
        <f>IF(AND('Mapa final'!$Y$51="Baja",'Mapa final'!$AA$51="Mayor"),CONCATENATE("R7C",'Mapa final'!$O$51),"")</f>
        <v/>
      </c>
      <c r="AH42" s="41" t="str">
        <f>IF(AND('Mapa final'!$Y$46="Baja",'Mapa final'!$AA$46="Catastrófico"),CONCATENATE("R7C",'Mapa final'!$O$46),"")</f>
        <v/>
      </c>
      <c r="AI42" s="42" t="str">
        <f>IF(AND('Mapa final'!$Y$47="Baja",'Mapa final'!$AA$47="Catastrófico"),CONCATENATE("R7C",'Mapa final'!$O$47),"")</f>
        <v/>
      </c>
      <c r="AJ42" s="42" t="str">
        <f>IF(AND('Mapa final'!$Y$48="Baja",'Mapa final'!$AA$48="Catastrófico"),CONCATENATE("R7C",'Mapa final'!$O$48),"")</f>
        <v/>
      </c>
      <c r="AK42" s="42" t="str">
        <f>IF(AND('Mapa final'!$Y$49="Baja",'Mapa final'!$AA$49="Catastrófico"),CONCATENATE("R7C",'Mapa final'!$O$49),"")</f>
        <v/>
      </c>
      <c r="AL42" s="42" t="str">
        <f>IF(AND('Mapa final'!$Y$50="Baja",'Mapa final'!$AA$50="Catastrófico"),CONCATENATE("R7C",'Mapa final'!$O$50),"")</f>
        <v/>
      </c>
      <c r="AM42" s="43" t="str">
        <f>IF(AND('Mapa final'!$Y$51="Baja",'Mapa final'!$AA$51="Catastrófico"),CONCATENATE("R7C",'Mapa final'!$O$51),"")</f>
        <v/>
      </c>
      <c r="AN42" s="69"/>
      <c r="AO42" s="421"/>
      <c r="AP42" s="422"/>
      <c r="AQ42" s="422"/>
      <c r="AR42" s="422"/>
      <c r="AS42" s="422"/>
      <c r="AT42" s="423"/>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349"/>
      <c r="C43" s="349"/>
      <c r="D43" s="350"/>
      <c r="E43" s="390"/>
      <c r="F43" s="391"/>
      <c r="G43" s="391"/>
      <c r="H43" s="391"/>
      <c r="I43" s="391"/>
      <c r="J43" s="62" t="str">
        <f>IF(AND('Mapa final'!$Y$52="Baja",'Mapa final'!$AA$52="Leve"),CONCATENATE("R8C",'Mapa final'!$O$52),"")</f>
        <v/>
      </c>
      <c r="K43" s="63" t="str">
        <f>IF(AND('Mapa final'!$Y$53="Baja",'Mapa final'!$AA$53="Leve"),CONCATENATE("R8C",'Mapa final'!$O$53),"")</f>
        <v/>
      </c>
      <c r="L43" s="63" t="str">
        <f>IF(AND('Mapa final'!$Y$54="Baja",'Mapa final'!$AA$54="Leve"),CONCATENATE("R8C",'Mapa final'!$O$54),"")</f>
        <v/>
      </c>
      <c r="M43" s="63" t="str">
        <f>IF(AND('Mapa final'!$Y$55="Baja",'Mapa final'!$AA$55="Leve"),CONCATENATE("R8C",'Mapa final'!$O$55),"")</f>
        <v/>
      </c>
      <c r="N43" s="63" t="str">
        <f>IF(AND('Mapa final'!$Y$56="Baja",'Mapa final'!$AA$56="Leve"),CONCATENATE("R8C",'Mapa final'!$O$56),"")</f>
        <v/>
      </c>
      <c r="O43" s="64" t="str">
        <f>IF(AND('Mapa final'!$Y$57="Baja",'Mapa final'!$AA$57="Leve"),CONCATENATE("R8C",'Mapa final'!$O$57),"")</f>
        <v/>
      </c>
      <c r="P43" s="53" t="str">
        <f>IF(AND('Mapa final'!$Y$52="Baja",'Mapa final'!$AA$52="Menor"),CONCATENATE("R8C",'Mapa final'!$O$52),"")</f>
        <v/>
      </c>
      <c r="Q43" s="54" t="str">
        <f>IF(AND('Mapa final'!$Y$53="Baja",'Mapa final'!$AA$53="Menor"),CONCATENATE("R8C",'Mapa final'!$O$53),"")</f>
        <v/>
      </c>
      <c r="R43" s="54" t="str">
        <f>IF(AND('Mapa final'!$Y$54="Baja",'Mapa final'!$AA$54="Menor"),CONCATENATE("R8C",'Mapa final'!$O$54),"")</f>
        <v/>
      </c>
      <c r="S43" s="54" t="str">
        <f>IF(AND('Mapa final'!$Y$55="Baja",'Mapa final'!$AA$55="Menor"),CONCATENATE("R8C",'Mapa final'!$O$55),"")</f>
        <v/>
      </c>
      <c r="T43" s="54" t="str">
        <f>IF(AND('Mapa final'!$Y$56="Baja",'Mapa final'!$AA$56="Menor"),CONCATENATE("R8C",'Mapa final'!$O$56),"")</f>
        <v/>
      </c>
      <c r="U43" s="55" t="str">
        <f>IF(AND('Mapa final'!$Y$57="Baja",'Mapa final'!$AA$57="Menor"),CONCATENATE("R8C",'Mapa final'!$O$57),"")</f>
        <v/>
      </c>
      <c r="V43" s="53" t="str">
        <f>IF(AND('Mapa final'!$Y$52="Baja",'Mapa final'!$AA$52="Moderado"),CONCATENATE("R8C",'Mapa final'!$O$52),"")</f>
        <v/>
      </c>
      <c r="W43" s="54" t="str">
        <f>IF(AND('Mapa final'!$Y$53="Baja",'Mapa final'!$AA$53="Moderado"),CONCATENATE("R8C",'Mapa final'!$O$53),"")</f>
        <v/>
      </c>
      <c r="X43" s="54" t="str">
        <f>IF(AND('Mapa final'!$Y$54="Baja",'Mapa final'!$AA$54="Moderado"),CONCATENATE("R8C",'Mapa final'!$O$54),"")</f>
        <v/>
      </c>
      <c r="Y43" s="54" t="str">
        <f>IF(AND('Mapa final'!$Y$55="Baja",'Mapa final'!$AA$55="Moderado"),CONCATENATE("R8C",'Mapa final'!$O$55),"")</f>
        <v/>
      </c>
      <c r="Z43" s="54" t="str">
        <f>IF(AND('Mapa final'!$Y$56="Baja",'Mapa final'!$AA$56="Moderado"),CONCATENATE("R8C",'Mapa final'!$O$56),"")</f>
        <v/>
      </c>
      <c r="AA43" s="55" t="str">
        <f>IF(AND('Mapa final'!$Y$57="Baja",'Mapa final'!$AA$57="Moderado"),CONCATENATE("R8C",'Mapa final'!$O$57),"")</f>
        <v/>
      </c>
      <c r="AB43" s="38" t="str">
        <f>IF(AND('Mapa final'!$Y$52="Baja",'Mapa final'!$AA$52="Mayor"),CONCATENATE("R8C",'Mapa final'!$O$52),"")</f>
        <v/>
      </c>
      <c r="AC43" s="39" t="str">
        <f>IF(AND('Mapa final'!$Y$53="Baja",'Mapa final'!$AA$53="Mayor"),CONCATENATE("R8C",'Mapa final'!$O$53),"")</f>
        <v/>
      </c>
      <c r="AD43" s="39" t="str">
        <f>IF(AND('Mapa final'!$Y$54="Baja",'Mapa final'!$AA$54="Mayor"),CONCATENATE("R8C",'Mapa final'!$O$54),"")</f>
        <v/>
      </c>
      <c r="AE43" s="39" t="str">
        <f>IF(AND('Mapa final'!$Y$55="Baja",'Mapa final'!$AA$55="Mayor"),CONCATENATE("R8C",'Mapa final'!$O$55),"")</f>
        <v/>
      </c>
      <c r="AF43" s="39" t="str">
        <f>IF(AND('Mapa final'!$Y$56="Baja",'Mapa final'!$AA$56="Mayor"),CONCATENATE("R8C",'Mapa final'!$O$56),"")</f>
        <v/>
      </c>
      <c r="AG43" s="40" t="str">
        <f>IF(AND('Mapa final'!$Y$57="Baja",'Mapa final'!$AA$57="Mayor"),CONCATENATE("R8C",'Mapa final'!$O$57),"")</f>
        <v/>
      </c>
      <c r="AH43" s="41" t="str">
        <f>IF(AND('Mapa final'!$Y$52="Baja",'Mapa final'!$AA$52="Catastrófico"),CONCATENATE("R8C",'Mapa final'!$O$52),"")</f>
        <v/>
      </c>
      <c r="AI43" s="42" t="str">
        <f>IF(AND('Mapa final'!$Y$53="Baja",'Mapa final'!$AA$53="Catastrófico"),CONCATENATE("R8C",'Mapa final'!$O$53),"")</f>
        <v/>
      </c>
      <c r="AJ43" s="42" t="str">
        <f>IF(AND('Mapa final'!$Y$54="Baja",'Mapa final'!$AA$54="Catastrófico"),CONCATENATE("R8C",'Mapa final'!$O$54),"")</f>
        <v/>
      </c>
      <c r="AK43" s="42" t="str">
        <f>IF(AND('Mapa final'!$Y$55="Baja",'Mapa final'!$AA$55="Catastrófico"),CONCATENATE("R8C",'Mapa final'!$O$55),"")</f>
        <v/>
      </c>
      <c r="AL43" s="42" t="str">
        <f>IF(AND('Mapa final'!$Y$56="Baja",'Mapa final'!$AA$56="Catastrófico"),CONCATENATE("R8C",'Mapa final'!$O$56),"")</f>
        <v/>
      </c>
      <c r="AM43" s="43" t="str">
        <f>IF(AND('Mapa final'!$Y$57="Baja",'Mapa final'!$AA$57="Catastrófico"),CONCATENATE("R8C",'Mapa final'!$O$57),"")</f>
        <v/>
      </c>
      <c r="AN43" s="69"/>
      <c r="AO43" s="421"/>
      <c r="AP43" s="422"/>
      <c r="AQ43" s="422"/>
      <c r="AR43" s="422"/>
      <c r="AS43" s="422"/>
      <c r="AT43" s="423"/>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349"/>
      <c r="C44" s="349"/>
      <c r="D44" s="350"/>
      <c r="E44" s="390"/>
      <c r="F44" s="391"/>
      <c r="G44" s="391"/>
      <c r="H44" s="391"/>
      <c r="I44" s="391"/>
      <c r="J44" s="62" t="str">
        <f>IF(AND('Mapa final'!$Y$58="Baja",'Mapa final'!$AA$58="Leve"),CONCATENATE("R9C",'Mapa final'!$O$58),"")</f>
        <v/>
      </c>
      <c r="K44" s="63" t="str">
        <f>IF(AND('Mapa final'!$Y$59="Baja",'Mapa final'!$AA$59="Leve"),CONCATENATE("R9C",'Mapa final'!$O$59),"")</f>
        <v/>
      </c>
      <c r="L44" s="63" t="str">
        <f>IF(AND('Mapa final'!$Y$60="Baja",'Mapa final'!$AA$60="Leve"),CONCATENATE("R9C",'Mapa final'!$O$60),"")</f>
        <v/>
      </c>
      <c r="M44" s="63" t="str">
        <f>IF(AND('Mapa final'!$Y$61="Baja",'Mapa final'!$AA$61="Leve"),CONCATENATE("R9C",'Mapa final'!$O$61),"")</f>
        <v/>
      </c>
      <c r="N44" s="63" t="str">
        <f>IF(AND('Mapa final'!$Y$62="Baja",'Mapa final'!$AA$62="Leve"),CONCATENATE("R9C",'Mapa final'!$O$62),"")</f>
        <v/>
      </c>
      <c r="O44" s="64" t="str">
        <f>IF(AND('Mapa final'!$Y$63="Baja",'Mapa final'!$AA$63="Leve"),CONCATENATE("R9C",'Mapa final'!$O$63),"")</f>
        <v/>
      </c>
      <c r="P44" s="53" t="str">
        <f>IF(AND('Mapa final'!$Y$58="Baja",'Mapa final'!$AA$58="Menor"),CONCATENATE("R9C",'Mapa final'!$O$58),"")</f>
        <v/>
      </c>
      <c r="Q44" s="54" t="str">
        <f>IF(AND('Mapa final'!$Y$59="Baja",'Mapa final'!$AA$59="Menor"),CONCATENATE("R9C",'Mapa final'!$O$59),"")</f>
        <v/>
      </c>
      <c r="R44" s="54" t="str">
        <f>IF(AND('Mapa final'!$Y$60="Baja",'Mapa final'!$AA$60="Menor"),CONCATENATE("R9C",'Mapa final'!$O$60),"")</f>
        <v/>
      </c>
      <c r="S44" s="54" t="str">
        <f>IF(AND('Mapa final'!$Y$61="Baja",'Mapa final'!$AA$61="Menor"),CONCATENATE("R9C",'Mapa final'!$O$61),"")</f>
        <v/>
      </c>
      <c r="T44" s="54" t="str">
        <f>IF(AND('Mapa final'!$Y$62="Baja",'Mapa final'!$AA$62="Menor"),CONCATENATE("R9C",'Mapa final'!$O$62),"")</f>
        <v/>
      </c>
      <c r="U44" s="55" t="str">
        <f>IF(AND('Mapa final'!$Y$63="Baja",'Mapa final'!$AA$63="Menor"),CONCATENATE("R9C",'Mapa final'!$O$63),"")</f>
        <v/>
      </c>
      <c r="V44" s="53" t="str">
        <f>IF(AND('Mapa final'!$Y$58="Baja",'Mapa final'!$AA$58="Moderado"),CONCATENATE("R9C",'Mapa final'!$O$58),"")</f>
        <v/>
      </c>
      <c r="W44" s="54" t="str">
        <f>IF(AND('Mapa final'!$Y$59="Baja",'Mapa final'!$AA$59="Moderado"),CONCATENATE("R9C",'Mapa final'!$O$59),"")</f>
        <v/>
      </c>
      <c r="X44" s="54" t="str">
        <f>IF(AND('Mapa final'!$Y$60="Baja",'Mapa final'!$AA$60="Moderado"),CONCATENATE("R9C",'Mapa final'!$O$60),"")</f>
        <v/>
      </c>
      <c r="Y44" s="54" t="str">
        <f>IF(AND('Mapa final'!$Y$61="Baja",'Mapa final'!$AA$61="Moderado"),CONCATENATE("R9C",'Mapa final'!$O$61),"")</f>
        <v/>
      </c>
      <c r="Z44" s="54" t="str">
        <f>IF(AND('Mapa final'!$Y$62="Baja",'Mapa final'!$AA$62="Moderado"),CONCATENATE("R9C",'Mapa final'!$O$62),"")</f>
        <v/>
      </c>
      <c r="AA44" s="55" t="str">
        <f>IF(AND('Mapa final'!$Y$63="Baja",'Mapa final'!$AA$63="Moderado"),CONCATENATE("R9C",'Mapa final'!$O$63),"")</f>
        <v/>
      </c>
      <c r="AB44" s="38" t="str">
        <f>IF(AND('Mapa final'!$Y$58="Baja",'Mapa final'!$AA$58="Mayor"),CONCATENATE("R9C",'Mapa final'!$O$58),"")</f>
        <v/>
      </c>
      <c r="AC44" s="39" t="str">
        <f>IF(AND('Mapa final'!$Y$59="Baja",'Mapa final'!$AA$59="Mayor"),CONCATENATE("R9C",'Mapa final'!$O$59),"")</f>
        <v/>
      </c>
      <c r="AD44" s="39" t="str">
        <f>IF(AND('Mapa final'!$Y$60="Baja",'Mapa final'!$AA$60="Mayor"),CONCATENATE("R9C",'Mapa final'!$O$60),"")</f>
        <v/>
      </c>
      <c r="AE44" s="39" t="str">
        <f>IF(AND('Mapa final'!$Y$61="Baja",'Mapa final'!$AA$61="Mayor"),CONCATENATE("R9C",'Mapa final'!$O$61),"")</f>
        <v/>
      </c>
      <c r="AF44" s="39" t="str">
        <f>IF(AND('Mapa final'!$Y$62="Baja",'Mapa final'!$AA$62="Mayor"),CONCATENATE("R9C",'Mapa final'!$O$62),"")</f>
        <v/>
      </c>
      <c r="AG44" s="40" t="str">
        <f>IF(AND('Mapa final'!$Y$63="Baja",'Mapa final'!$AA$63="Mayor"),CONCATENATE("R9C",'Mapa final'!$O$63),"")</f>
        <v/>
      </c>
      <c r="AH44" s="41" t="str">
        <f>IF(AND('Mapa final'!$Y$58="Baja",'Mapa final'!$AA$58="Catastrófico"),CONCATENATE("R9C",'Mapa final'!$O$58),"")</f>
        <v/>
      </c>
      <c r="AI44" s="42" t="str">
        <f>IF(AND('Mapa final'!$Y$59="Baja",'Mapa final'!$AA$59="Catastrófico"),CONCATENATE("R9C",'Mapa final'!$O$59),"")</f>
        <v/>
      </c>
      <c r="AJ44" s="42" t="str">
        <f>IF(AND('Mapa final'!$Y$60="Baja",'Mapa final'!$AA$60="Catastrófico"),CONCATENATE("R9C",'Mapa final'!$O$60),"")</f>
        <v/>
      </c>
      <c r="AK44" s="42" t="str">
        <f>IF(AND('Mapa final'!$Y$61="Baja",'Mapa final'!$AA$61="Catastrófico"),CONCATENATE("R9C",'Mapa final'!$O$61),"")</f>
        <v/>
      </c>
      <c r="AL44" s="42" t="str">
        <f>IF(AND('Mapa final'!$Y$62="Baja",'Mapa final'!$AA$62="Catastrófico"),CONCATENATE("R9C",'Mapa final'!$O$62),"")</f>
        <v/>
      </c>
      <c r="AM44" s="43" t="str">
        <f>IF(AND('Mapa final'!$Y$63="Baja",'Mapa final'!$AA$63="Catastrófico"),CONCATENATE("R9C",'Mapa final'!$O$63),"")</f>
        <v/>
      </c>
      <c r="AN44" s="69"/>
      <c r="AO44" s="421"/>
      <c r="AP44" s="422"/>
      <c r="AQ44" s="422"/>
      <c r="AR44" s="422"/>
      <c r="AS44" s="422"/>
      <c r="AT44" s="423"/>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349"/>
      <c r="C45" s="349"/>
      <c r="D45" s="350"/>
      <c r="E45" s="393"/>
      <c r="F45" s="394"/>
      <c r="G45" s="394"/>
      <c r="H45" s="394"/>
      <c r="I45" s="394"/>
      <c r="J45" s="65" t="str">
        <f>IF(AND('Mapa final'!$Y$64="Baja",'Mapa final'!$AA$64="Leve"),CONCATENATE("R10C",'Mapa final'!$O$64),"")</f>
        <v/>
      </c>
      <c r="K45" s="66" t="str">
        <f>IF(AND('Mapa final'!$Y$65="Baja",'Mapa final'!$AA$65="Leve"),CONCATENATE("R10C",'Mapa final'!$O$65),"")</f>
        <v/>
      </c>
      <c r="L45" s="66" t="str">
        <f>IF(AND('Mapa final'!$Y$66="Baja",'Mapa final'!$AA$66="Leve"),CONCATENATE("R10C",'Mapa final'!$O$66),"")</f>
        <v/>
      </c>
      <c r="M45" s="66" t="str">
        <f>IF(AND('Mapa final'!$Y$67="Baja",'Mapa final'!$AA$67="Leve"),CONCATENATE("R10C",'Mapa final'!$O$67),"")</f>
        <v/>
      </c>
      <c r="N45" s="66" t="str">
        <f>IF(AND('Mapa final'!$Y$68="Baja",'Mapa final'!$AA$68="Leve"),CONCATENATE("R10C",'Mapa final'!$O$68),"")</f>
        <v/>
      </c>
      <c r="O45" s="67" t="str">
        <f>IF(AND('Mapa final'!$Y$69="Baja",'Mapa final'!$AA$69="Leve"),CONCATENATE("R10C",'Mapa final'!$O$69),"")</f>
        <v/>
      </c>
      <c r="P45" s="53" t="str">
        <f>IF(AND('Mapa final'!$Y$64="Baja",'Mapa final'!$AA$64="Menor"),CONCATENATE("R10C",'Mapa final'!$O$64),"")</f>
        <v/>
      </c>
      <c r="Q45" s="54" t="str">
        <f>IF(AND('Mapa final'!$Y$65="Baja",'Mapa final'!$AA$65="Menor"),CONCATENATE("R10C",'Mapa final'!$O$65),"")</f>
        <v/>
      </c>
      <c r="R45" s="54" t="str">
        <f>IF(AND('Mapa final'!$Y$66="Baja",'Mapa final'!$AA$66="Menor"),CONCATENATE("R10C",'Mapa final'!$O$66),"")</f>
        <v/>
      </c>
      <c r="S45" s="54" t="str">
        <f>IF(AND('Mapa final'!$Y$67="Baja",'Mapa final'!$AA$67="Menor"),CONCATENATE("R10C",'Mapa final'!$O$67),"")</f>
        <v/>
      </c>
      <c r="T45" s="54" t="str">
        <f>IF(AND('Mapa final'!$Y$68="Baja",'Mapa final'!$AA$68="Menor"),CONCATENATE("R10C",'Mapa final'!$O$68),"")</f>
        <v/>
      </c>
      <c r="U45" s="55" t="str">
        <f>IF(AND('Mapa final'!$Y$69="Baja",'Mapa final'!$AA$69="Menor"),CONCATENATE("R10C",'Mapa final'!$O$69),"")</f>
        <v/>
      </c>
      <c r="V45" s="56" t="str">
        <f>IF(AND('Mapa final'!$Y$64="Baja",'Mapa final'!$AA$64="Moderado"),CONCATENATE("R10C",'Mapa final'!$O$64),"")</f>
        <v/>
      </c>
      <c r="W45" s="57" t="str">
        <f>IF(AND('Mapa final'!$Y$65="Baja",'Mapa final'!$AA$65="Moderado"),CONCATENATE("R10C",'Mapa final'!$O$65),"")</f>
        <v/>
      </c>
      <c r="X45" s="57" t="str">
        <f>IF(AND('Mapa final'!$Y$66="Baja",'Mapa final'!$AA$66="Moderado"),CONCATENATE("R10C",'Mapa final'!$O$66),"")</f>
        <v/>
      </c>
      <c r="Y45" s="57" t="str">
        <f>IF(AND('Mapa final'!$Y$67="Baja",'Mapa final'!$AA$67="Moderado"),CONCATENATE("R10C",'Mapa final'!$O$67),"")</f>
        <v/>
      </c>
      <c r="Z45" s="57" t="str">
        <f>IF(AND('Mapa final'!$Y$68="Baja",'Mapa final'!$AA$68="Moderado"),CONCATENATE("R10C",'Mapa final'!$O$68),"")</f>
        <v/>
      </c>
      <c r="AA45" s="58" t="str">
        <f>IF(AND('Mapa final'!$Y$69="Baja",'Mapa final'!$AA$69="Moderado"),CONCATENATE("R10C",'Mapa final'!$O$69),"")</f>
        <v/>
      </c>
      <c r="AB45" s="44" t="str">
        <f>IF(AND('Mapa final'!$Y$64="Baja",'Mapa final'!$AA$64="Mayor"),CONCATENATE("R10C",'Mapa final'!$O$64),"")</f>
        <v/>
      </c>
      <c r="AC45" s="45" t="str">
        <f>IF(AND('Mapa final'!$Y$65="Baja",'Mapa final'!$AA$65="Mayor"),CONCATENATE("R10C",'Mapa final'!$O$65),"")</f>
        <v/>
      </c>
      <c r="AD45" s="45" t="str">
        <f>IF(AND('Mapa final'!$Y$66="Baja",'Mapa final'!$AA$66="Mayor"),CONCATENATE("R10C",'Mapa final'!$O$66),"")</f>
        <v/>
      </c>
      <c r="AE45" s="45" t="str">
        <f>IF(AND('Mapa final'!$Y$67="Baja",'Mapa final'!$AA$67="Mayor"),CONCATENATE("R10C",'Mapa final'!$O$67),"")</f>
        <v/>
      </c>
      <c r="AF45" s="45" t="str">
        <f>IF(AND('Mapa final'!$Y$68="Baja",'Mapa final'!$AA$68="Mayor"),CONCATENATE("R10C",'Mapa final'!$O$68),"")</f>
        <v/>
      </c>
      <c r="AG45" s="46" t="str">
        <f>IF(AND('Mapa final'!$Y$69="Baja",'Mapa final'!$AA$69="Mayor"),CONCATENATE("R10C",'Mapa final'!$O$69),"")</f>
        <v/>
      </c>
      <c r="AH45" s="47" t="str">
        <f>IF(AND('Mapa final'!$Y$64="Baja",'Mapa final'!$AA$64="Catastrófico"),CONCATENATE("R10C",'Mapa final'!$O$64),"")</f>
        <v/>
      </c>
      <c r="AI45" s="48" t="str">
        <f>IF(AND('Mapa final'!$Y$65="Baja",'Mapa final'!$AA$65="Catastrófico"),CONCATENATE("R10C",'Mapa final'!$O$65),"")</f>
        <v/>
      </c>
      <c r="AJ45" s="48" t="str">
        <f>IF(AND('Mapa final'!$Y$66="Baja",'Mapa final'!$AA$66="Catastrófico"),CONCATENATE("R10C",'Mapa final'!$O$66),"")</f>
        <v/>
      </c>
      <c r="AK45" s="48" t="str">
        <f>IF(AND('Mapa final'!$Y$67="Baja",'Mapa final'!$AA$67="Catastrófico"),CONCATENATE("R10C",'Mapa final'!$O$67),"")</f>
        <v/>
      </c>
      <c r="AL45" s="48" t="str">
        <f>IF(AND('Mapa final'!$Y$68="Baja",'Mapa final'!$AA$68="Catastrófico"),CONCATENATE("R10C",'Mapa final'!$O$68),"")</f>
        <v/>
      </c>
      <c r="AM45" s="49" t="str">
        <f>IF(AND('Mapa final'!$Y$69="Baja",'Mapa final'!$AA$69="Catastrófico"),CONCATENATE("R10C",'Mapa final'!$O$69),"")</f>
        <v/>
      </c>
      <c r="AN45" s="69"/>
      <c r="AO45" s="424"/>
      <c r="AP45" s="425"/>
      <c r="AQ45" s="425"/>
      <c r="AR45" s="425"/>
      <c r="AS45" s="425"/>
      <c r="AT45" s="426"/>
    </row>
    <row r="46" spans="1:80" ht="46.5" customHeight="1" x14ac:dyDescent="0.35">
      <c r="A46" s="69"/>
      <c r="B46" s="349"/>
      <c r="C46" s="349"/>
      <c r="D46" s="350"/>
      <c r="E46" s="387" t="s">
        <v>113</v>
      </c>
      <c r="F46" s="388"/>
      <c r="G46" s="388"/>
      <c r="H46" s="388"/>
      <c r="I46" s="389"/>
      <c r="J46" s="59" t="str">
        <f>IF(AND('Mapa final'!$Y$10="Muy Baja",'Mapa final'!$AA$10="Leve"),CONCATENATE("R1C",'Mapa final'!$O$10),"")</f>
        <v/>
      </c>
      <c r="K46" s="60" t="str">
        <f>IF(AND('Mapa final'!$Y$11="Muy Baja",'Mapa final'!$AA$11="Leve"),CONCATENATE("R1C",'Mapa final'!$O$11),"")</f>
        <v/>
      </c>
      <c r="L46" s="60" t="str">
        <f>IF(AND('Mapa final'!$Y$12="Muy Baja",'Mapa final'!$AA$12="Leve"),CONCATENATE("R1C",'Mapa final'!$O$12),"")</f>
        <v/>
      </c>
      <c r="M46" s="60" t="str">
        <f>IF(AND('Mapa final'!$Y$13="Muy Baja",'Mapa final'!$AA$13="Leve"),CONCATENATE("R1C",'Mapa final'!$O$13),"")</f>
        <v/>
      </c>
      <c r="N46" s="60" t="str">
        <f>IF(AND('Mapa final'!$Y$14="Muy Baja",'Mapa final'!$AA$14="Leve"),CONCATENATE("R1C",'Mapa final'!$O$14),"")</f>
        <v/>
      </c>
      <c r="O46" s="61" t="str">
        <f>IF(AND('Mapa final'!$Y$15="Muy Baja",'Mapa final'!$AA$15="Leve"),CONCATENATE("R1C",'Mapa final'!$O$15),"")</f>
        <v/>
      </c>
      <c r="P46" s="59" t="str">
        <f>IF(AND('Mapa final'!$Y$10="Muy Baja",'Mapa final'!$AA$10="Menor"),CONCATENATE("R1C",'Mapa final'!$O$10),"")</f>
        <v/>
      </c>
      <c r="Q46" s="60" t="str">
        <f>IF(AND('Mapa final'!$Y$11="Muy Baja",'Mapa final'!$AA$11="Menor"),CONCATENATE("R1C",'Mapa final'!$O$11),"")</f>
        <v/>
      </c>
      <c r="R46" s="60" t="str">
        <f>IF(AND('Mapa final'!$Y$12="Muy Baja",'Mapa final'!$AA$12="Menor"),CONCATENATE("R1C",'Mapa final'!$O$12),"")</f>
        <v/>
      </c>
      <c r="S46" s="60" t="str">
        <f>IF(AND('Mapa final'!$Y$13="Muy Baja",'Mapa final'!$AA$13="Menor"),CONCATENATE("R1C",'Mapa final'!$O$13),"")</f>
        <v/>
      </c>
      <c r="T46" s="60" t="str">
        <f>IF(AND('Mapa final'!$Y$14="Muy Baja",'Mapa final'!$AA$14="Menor"),CONCATENATE("R1C",'Mapa final'!$O$14),"")</f>
        <v/>
      </c>
      <c r="U46" s="61" t="str">
        <f>IF(AND('Mapa final'!$Y$15="Muy Baja",'Mapa final'!$AA$15="Menor"),CONCATENATE("R1C",'Mapa final'!$O$15),"")</f>
        <v/>
      </c>
      <c r="V46" s="50" t="str">
        <f>IF(AND('Mapa final'!$Y$10="Muy Baja",'Mapa final'!$AA$10="Moderado"),CONCATENATE("R1C",'Mapa final'!$O$10),"")</f>
        <v/>
      </c>
      <c r="W46" s="68" t="str">
        <f>IF(AND('Mapa final'!$Y$11="Muy Baja",'Mapa final'!$AA$11="Moderado"),CONCATENATE("R1C",'Mapa final'!$O$11),"")</f>
        <v/>
      </c>
      <c r="X46" s="51" t="str">
        <f>IF(AND('Mapa final'!$Y$12="Muy Baja",'Mapa final'!$AA$12="Moderado"),CONCATENATE("R1C",'Mapa final'!$O$12),"")</f>
        <v/>
      </c>
      <c r="Y46" s="51" t="str">
        <f>IF(AND('Mapa final'!$Y$13="Muy Baja",'Mapa final'!$AA$13="Moderado"),CONCATENATE("R1C",'Mapa final'!$O$13),"")</f>
        <v/>
      </c>
      <c r="Z46" s="51" t="str">
        <f>IF(AND('Mapa final'!$Y$14="Muy Baja",'Mapa final'!$AA$14="Moderado"),CONCATENATE("R1C",'Mapa final'!$O$14),"")</f>
        <v/>
      </c>
      <c r="AA46" s="52" t="str">
        <f>IF(AND('Mapa final'!$Y$15="Muy Baja",'Mapa final'!$AA$15="Moderado"),CONCATENATE("R1C",'Mapa final'!$O$15),"")</f>
        <v/>
      </c>
      <c r="AB46" s="32" t="str">
        <f>IF(AND('Mapa final'!$Y$10="Muy Baja",'Mapa final'!$AA$10="Mayor"),CONCATENATE("R1C",'Mapa final'!$O$10),"")</f>
        <v/>
      </c>
      <c r="AC46" s="33" t="str">
        <f>IF(AND('Mapa final'!$Y$11="Muy Baja",'Mapa final'!$AA$11="Mayor"),CONCATENATE("R1C",'Mapa final'!$O$11),"")</f>
        <v/>
      </c>
      <c r="AD46" s="33" t="str">
        <f>IF(AND('Mapa final'!$Y$12="Muy Baja",'Mapa final'!$AA$12="Mayor"),CONCATENATE("R1C",'Mapa final'!$O$12),"")</f>
        <v/>
      </c>
      <c r="AE46" s="33" t="str">
        <f>IF(AND('Mapa final'!$Y$13="Muy Baja",'Mapa final'!$AA$13="Mayor"),CONCATENATE("R1C",'Mapa final'!$O$13),"")</f>
        <v/>
      </c>
      <c r="AF46" s="33" t="str">
        <f>IF(AND('Mapa final'!$Y$14="Muy Baja",'Mapa final'!$AA$14="Mayor"),CONCATENATE("R1C",'Mapa final'!$O$14),"")</f>
        <v/>
      </c>
      <c r="AG46" s="34" t="str">
        <f>IF(AND('Mapa final'!$Y$15="Muy Baja",'Mapa final'!$AA$15="Mayor"),CONCATENATE("R1C",'Mapa final'!$O$15),"")</f>
        <v/>
      </c>
      <c r="AH46" s="35" t="str">
        <f>IF(AND('Mapa final'!$Y$10="Muy Baja",'Mapa final'!$AA$10="Catastrófico"),CONCATENATE("R1C",'Mapa final'!$O$10),"")</f>
        <v/>
      </c>
      <c r="AI46" s="36" t="str">
        <f>IF(AND('Mapa final'!$Y$11="Muy Baja",'Mapa final'!$AA$11="Catastrófico"),CONCATENATE("R1C",'Mapa final'!$O$11),"")</f>
        <v/>
      </c>
      <c r="AJ46" s="36" t="str">
        <f>IF(AND('Mapa final'!$Y$12="Muy Baja",'Mapa final'!$AA$12="Catastrófico"),CONCATENATE("R1C",'Mapa final'!$O$12),"")</f>
        <v/>
      </c>
      <c r="AK46" s="36" t="str">
        <f>IF(AND('Mapa final'!$Y$13="Muy Baja",'Mapa final'!$AA$13="Catastrófico"),CONCATENATE("R1C",'Mapa final'!$O$13),"")</f>
        <v/>
      </c>
      <c r="AL46" s="36" t="str">
        <f>IF(AND('Mapa final'!$Y$14="Muy Baja",'Mapa final'!$AA$14="Catastrófico"),CONCATENATE("R1C",'Mapa final'!$O$14),"")</f>
        <v/>
      </c>
      <c r="AM46" s="37" t="str">
        <f>IF(AND('Mapa final'!$Y$15="Muy Baja",'Mapa final'!$AA$15="Catastrófico"),CONCATENATE("R1C",'Mapa final'!$O$15),"")</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349"/>
      <c r="C47" s="349"/>
      <c r="D47" s="350"/>
      <c r="E47" s="406"/>
      <c r="F47" s="391"/>
      <c r="G47" s="391"/>
      <c r="H47" s="391"/>
      <c r="I47" s="392"/>
      <c r="J47" s="62" t="str">
        <f>IF(AND('Mapa final'!$Y$16="Muy Baja",'Mapa final'!$AA$16="Leve"),CONCATENATE("R2C",'Mapa final'!$O$16),"")</f>
        <v/>
      </c>
      <c r="K47" s="63" t="str">
        <f>IF(AND('Mapa final'!$Y$17="Muy Baja",'Mapa final'!$AA$17="Leve"),CONCATENATE("R2C",'Mapa final'!$O$17),"")</f>
        <v/>
      </c>
      <c r="L47" s="63" t="str">
        <f>IF(AND('Mapa final'!$Y$18="Muy Baja",'Mapa final'!$AA$18="Leve"),CONCATENATE("R2C",'Mapa final'!$O$18),"")</f>
        <v/>
      </c>
      <c r="M47" s="63" t="str">
        <f>IF(AND('Mapa final'!$Y$19="Muy Baja",'Mapa final'!$AA$19="Leve"),CONCATENATE("R2C",'Mapa final'!$O$19),"")</f>
        <v/>
      </c>
      <c r="N47" s="63" t="str">
        <f>IF(AND('Mapa final'!$Y$20="Muy Baja",'Mapa final'!$AA$20="Leve"),CONCATENATE("R2C",'Mapa final'!$O$20),"")</f>
        <v/>
      </c>
      <c r="O47" s="64" t="str">
        <f>IF(AND('Mapa final'!$Y$21="Muy Baja",'Mapa final'!$AA$21="Leve"),CONCATENATE("R2C",'Mapa final'!$O$21),"")</f>
        <v/>
      </c>
      <c r="P47" s="62" t="str">
        <f>IF(AND('Mapa final'!$Y$16="Muy Baja",'Mapa final'!$AA$16="Menor"),CONCATENATE("R2C",'Mapa final'!$O$16),"")</f>
        <v/>
      </c>
      <c r="Q47" s="63" t="str">
        <f>IF(AND('Mapa final'!$Y$17="Muy Baja",'Mapa final'!$AA$17="Menor"),CONCATENATE("R2C",'Mapa final'!$O$17),"")</f>
        <v/>
      </c>
      <c r="R47" s="63" t="str">
        <f>IF(AND('Mapa final'!$Y$18="Muy Baja",'Mapa final'!$AA$18="Menor"),CONCATENATE("R2C",'Mapa final'!$O$18),"")</f>
        <v/>
      </c>
      <c r="S47" s="63" t="str">
        <f>IF(AND('Mapa final'!$Y$19="Muy Baja",'Mapa final'!$AA$19="Menor"),CONCATENATE("R2C",'Mapa final'!$O$19),"")</f>
        <v/>
      </c>
      <c r="T47" s="63" t="str">
        <f>IF(AND('Mapa final'!$Y$20="Muy Baja",'Mapa final'!$AA$20="Menor"),CONCATENATE("R2C",'Mapa final'!$O$20),"")</f>
        <v/>
      </c>
      <c r="U47" s="64" t="str">
        <f>IF(AND('Mapa final'!$Y$21="Muy Baja",'Mapa final'!$AA$21="Menor"),CONCATENATE("R2C",'Mapa final'!$O$21),"")</f>
        <v/>
      </c>
      <c r="V47" s="53" t="str">
        <f>IF(AND('Mapa final'!$Y$16="Muy Baja",'Mapa final'!$AA$16="Moderado"),CONCATENATE("R2C",'Mapa final'!$O$16),"")</f>
        <v/>
      </c>
      <c r="W47" s="54" t="str">
        <f>IF(AND('Mapa final'!$Y$17="Muy Baja",'Mapa final'!$AA$17="Moderado"),CONCATENATE("R2C",'Mapa final'!$O$17),"")</f>
        <v/>
      </c>
      <c r="X47" s="54" t="str">
        <f>IF(AND('Mapa final'!$Y$18="Muy Baja",'Mapa final'!$AA$18="Moderado"),CONCATENATE("R2C",'Mapa final'!$O$18),"")</f>
        <v/>
      </c>
      <c r="Y47" s="54" t="str">
        <f>IF(AND('Mapa final'!$Y$19="Muy Baja",'Mapa final'!$AA$19="Moderado"),CONCATENATE("R2C",'Mapa final'!$O$19),"")</f>
        <v/>
      </c>
      <c r="Z47" s="54" t="str">
        <f>IF(AND('Mapa final'!$Y$20="Muy Baja",'Mapa final'!$AA$20="Moderado"),CONCATENATE("R2C",'Mapa final'!$O$20),"")</f>
        <v/>
      </c>
      <c r="AA47" s="55" t="str">
        <f>IF(AND('Mapa final'!$Y$21="Muy Baja",'Mapa final'!$AA$21="Moderado"),CONCATENATE("R2C",'Mapa final'!$O$21),"")</f>
        <v/>
      </c>
      <c r="AB47" s="38" t="str">
        <f>IF(AND('Mapa final'!$Y$16="Muy Baja",'Mapa final'!$AA$16="Mayor"),CONCATENATE("R2C",'Mapa final'!$O$16),"")</f>
        <v/>
      </c>
      <c r="AC47" s="39" t="str">
        <f>IF(AND('Mapa final'!$Y$17="Muy Baja",'Mapa final'!$AA$17="Mayor"),CONCATENATE("R2C",'Mapa final'!$O$17),"")</f>
        <v/>
      </c>
      <c r="AD47" s="39" t="str">
        <f>IF(AND('Mapa final'!$Y$18="Muy Baja",'Mapa final'!$AA$18="Mayor"),CONCATENATE("R2C",'Mapa final'!$O$18),"")</f>
        <v/>
      </c>
      <c r="AE47" s="39" t="str">
        <f>IF(AND('Mapa final'!$Y$19="Muy Baja",'Mapa final'!$AA$19="Mayor"),CONCATENATE("R2C",'Mapa final'!$O$19),"")</f>
        <v/>
      </c>
      <c r="AF47" s="39" t="str">
        <f>IF(AND('Mapa final'!$Y$20="Muy Baja",'Mapa final'!$AA$20="Mayor"),CONCATENATE("R2C",'Mapa final'!$O$20),"")</f>
        <v/>
      </c>
      <c r="AG47" s="40" t="str">
        <f>IF(AND('Mapa final'!$Y$21="Muy Baja",'Mapa final'!$AA$21="Mayor"),CONCATENATE("R2C",'Mapa final'!$O$21),"")</f>
        <v/>
      </c>
      <c r="AH47" s="41" t="str">
        <f>IF(AND('Mapa final'!$Y$16="Muy Baja",'Mapa final'!$AA$16="Catastrófico"),CONCATENATE("R2C",'Mapa final'!$O$16),"")</f>
        <v/>
      </c>
      <c r="AI47" s="42" t="str">
        <f>IF(AND('Mapa final'!$Y$17="Muy Baja",'Mapa final'!$AA$17="Catastrófico"),CONCATENATE("R2C",'Mapa final'!$O$17),"")</f>
        <v/>
      </c>
      <c r="AJ47" s="42" t="str">
        <f>IF(AND('Mapa final'!$Y$18="Muy Baja",'Mapa final'!$AA$18="Catastrófico"),CONCATENATE("R2C",'Mapa final'!$O$18),"")</f>
        <v/>
      </c>
      <c r="AK47" s="42" t="str">
        <f>IF(AND('Mapa final'!$Y$19="Muy Baja",'Mapa final'!$AA$19="Catastrófico"),CONCATENATE("R2C",'Mapa final'!$O$19),"")</f>
        <v/>
      </c>
      <c r="AL47" s="42" t="str">
        <f>IF(AND('Mapa final'!$Y$20="Muy Baja",'Mapa final'!$AA$20="Catastrófico"),CONCATENATE("R2C",'Mapa final'!$O$20),"")</f>
        <v/>
      </c>
      <c r="AM47" s="43" t="str">
        <f>IF(AND('Mapa final'!$Y$21="Muy Baja",'Mapa final'!$AA$21="Catastrófico"),CONCATENATE("R2C",'Mapa final'!$O$21),"")</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349"/>
      <c r="C48" s="349"/>
      <c r="D48" s="350"/>
      <c r="E48" s="406"/>
      <c r="F48" s="391"/>
      <c r="G48" s="391"/>
      <c r="H48" s="391"/>
      <c r="I48" s="392"/>
      <c r="J48" s="62" t="str">
        <f>IF(AND('Mapa final'!$Y$22="Muy Baja",'Mapa final'!$AA$22="Leve"),CONCATENATE("R3C",'Mapa final'!$O$22),"")</f>
        <v/>
      </c>
      <c r="K48" s="63" t="str">
        <f>IF(AND('Mapa final'!$Y$23="Muy Baja",'Mapa final'!$AA$23="Leve"),CONCATENATE("R3C",'Mapa final'!$O$23),"")</f>
        <v/>
      </c>
      <c r="L48" s="63" t="str">
        <f>IF(AND('Mapa final'!$Y$24="Muy Baja",'Mapa final'!$AA$24="Leve"),CONCATENATE("R3C",'Mapa final'!$O$24),"")</f>
        <v/>
      </c>
      <c r="M48" s="63" t="str">
        <f>IF(AND('Mapa final'!$Y$25="Muy Baja",'Mapa final'!$AA$25="Leve"),CONCATENATE("R3C",'Mapa final'!$O$25),"")</f>
        <v/>
      </c>
      <c r="N48" s="63" t="str">
        <f>IF(AND('Mapa final'!$Y$26="Muy Baja",'Mapa final'!$AA$26="Leve"),CONCATENATE("R3C",'Mapa final'!$O$26),"")</f>
        <v/>
      </c>
      <c r="O48" s="64" t="str">
        <f>IF(AND('Mapa final'!$Y$27="Muy Baja",'Mapa final'!$AA$27="Leve"),CONCATENATE("R3C",'Mapa final'!$O$27),"")</f>
        <v/>
      </c>
      <c r="P48" s="62" t="str">
        <f>IF(AND('Mapa final'!$Y$22="Muy Baja",'Mapa final'!$AA$22="Menor"),CONCATENATE("R3C",'Mapa final'!$O$22),"")</f>
        <v/>
      </c>
      <c r="Q48" s="63" t="str">
        <f>IF(AND('Mapa final'!$Y$23="Muy Baja",'Mapa final'!$AA$23="Menor"),CONCATENATE("R3C",'Mapa final'!$O$23),"")</f>
        <v/>
      </c>
      <c r="R48" s="63" t="str">
        <f>IF(AND('Mapa final'!$Y$24="Muy Baja",'Mapa final'!$AA$24="Menor"),CONCATENATE("R3C",'Mapa final'!$O$24),"")</f>
        <v/>
      </c>
      <c r="S48" s="63" t="str">
        <f>IF(AND('Mapa final'!$Y$25="Muy Baja",'Mapa final'!$AA$25="Menor"),CONCATENATE("R3C",'Mapa final'!$O$25),"")</f>
        <v/>
      </c>
      <c r="T48" s="63" t="str">
        <f>IF(AND('Mapa final'!$Y$26="Muy Baja",'Mapa final'!$AA$26="Menor"),CONCATENATE("R3C",'Mapa final'!$O$26),"")</f>
        <v/>
      </c>
      <c r="U48" s="64" t="str">
        <f>IF(AND('Mapa final'!$Y$27="Muy Baja",'Mapa final'!$AA$27="Menor"),CONCATENATE("R3C",'Mapa final'!$O$27),"")</f>
        <v/>
      </c>
      <c r="V48" s="53" t="str">
        <f>IF(AND('Mapa final'!$Y$22="Muy Baja",'Mapa final'!$AA$22="Moderado"),CONCATENATE("R3C",'Mapa final'!$O$22),"")</f>
        <v/>
      </c>
      <c r="W48" s="54" t="str">
        <f>IF(AND('Mapa final'!$Y$23="Muy Baja",'Mapa final'!$AA$23="Moderado"),CONCATENATE("R3C",'Mapa final'!$O$23),"")</f>
        <v/>
      </c>
      <c r="X48" s="54" t="str">
        <f>IF(AND('Mapa final'!$Y$24="Muy Baja",'Mapa final'!$AA$24="Moderado"),CONCATENATE("R3C",'Mapa final'!$O$24),"")</f>
        <v/>
      </c>
      <c r="Y48" s="54" t="str">
        <f>IF(AND('Mapa final'!$Y$25="Muy Baja",'Mapa final'!$AA$25="Moderado"),CONCATENATE("R3C",'Mapa final'!$O$25),"")</f>
        <v/>
      </c>
      <c r="Z48" s="54" t="str">
        <f>IF(AND('Mapa final'!$Y$26="Muy Baja",'Mapa final'!$AA$26="Moderado"),CONCATENATE("R3C",'Mapa final'!$O$26),"")</f>
        <v/>
      </c>
      <c r="AA48" s="55" t="str">
        <f>IF(AND('Mapa final'!$Y$27="Muy Baja",'Mapa final'!$AA$27="Moderado"),CONCATENATE("R3C",'Mapa final'!$O$27),"")</f>
        <v/>
      </c>
      <c r="AB48" s="38" t="str">
        <f>IF(AND('Mapa final'!$Y$22="Muy Baja",'Mapa final'!$AA$22="Mayor"),CONCATENATE("R3C",'Mapa final'!$O$22),"")</f>
        <v/>
      </c>
      <c r="AC48" s="39" t="str">
        <f>IF(AND('Mapa final'!$Y$23="Muy Baja",'Mapa final'!$AA$23="Mayor"),CONCATENATE("R3C",'Mapa final'!$O$23),"")</f>
        <v/>
      </c>
      <c r="AD48" s="39" t="str">
        <f>IF(AND('Mapa final'!$Y$24="Muy Baja",'Mapa final'!$AA$24="Mayor"),CONCATENATE("R3C",'Mapa final'!$O$24),"")</f>
        <v/>
      </c>
      <c r="AE48" s="39" t="str">
        <f>IF(AND('Mapa final'!$Y$25="Muy Baja",'Mapa final'!$AA$25="Mayor"),CONCATENATE("R3C",'Mapa final'!$O$25),"")</f>
        <v/>
      </c>
      <c r="AF48" s="39" t="str">
        <f>IF(AND('Mapa final'!$Y$26="Muy Baja",'Mapa final'!$AA$26="Mayor"),CONCATENATE("R3C",'Mapa final'!$O$26),"")</f>
        <v/>
      </c>
      <c r="AG48" s="40" t="str">
        <f>IF(AND('Mapa final'!$Y$27="Muy Baja",'Mapa final'!$AA$27="Mayor"),CONCATENATE("R3C",'Mapa final'!$O$27),"")</f>
        <v/>
      </c>
      <c r="AH48" s="41" t="str">
        <f>IF(AND('Mapa final'!$Y$22="Muy Baja",'Mapa final'!$AA$22="Catastrófico"),CONCATENATE("R3C",'Mapa final'!$O$22),"")</f>
        <v/>
      </c>
      <c r="AI48" s="42" t="str">
        <f>IF(AND('Mapa final'!$Y$23="Muy Baja",'Mapa final'!$AA$23="Catastrófico"),CONCATENATE("R3C",'Mapa final'!$O$23),"")</f>
        <v/>
      </c>
      <c r="AJ48" s="42" t="str">
        <f>IF(AND('Mapa final'!$Y$24="Muy Baja",'Mapa final'!$AA$24="Catastrófico"),CONCATENATE("R3C",'Mapa final'!$O$24),"")</f>
        <v/>
      </c>
      <c r="AK48" s="42" t="str">
        <f>IF(AND('Mapa final'!$Y$25="Muy Baja",'Mapa final'!$AA$25="Catastrófico"),CONCATENATE("R3C",'Mapa final'!$O$25),"")</f>
        <v/>
      </c>
      <c r="AL48" s="42" t="str">
        <f>IF(AND('Mapa final'!$Y$26="Muy Baja",'Mapa final'!$AA$26="Catastrófico"),CONCATENATE("R3C",'Mapa final'!$O$26),"")</f>
        <v/>
      </c>
      <c r="AM48" s="43" t="str">
        <f>IF(AND('Mapa final'!$Y$27="Muy Baja",'Mapa final'!$AA$27="Catastrófico"),CONCATENATE("R3C",'Mapa final'!$O$27),"")</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349"/>
      <c r="C49" s="349"/>
      <c r="D49" s="350"/>
      <c r="E49" s="390"/>
      <c r="F49" s="391"/>
      <c r="G49" s="391"/>
      <c r="H49" s="391"/>
      <c r="I49" s="392"/>
      <c r="J49" s="62" t="str">
        <f>IF(AND('Mapa final'!$Y$28="Muy Baja",'Mapa final'!$AA$28="Leve"),CONCATENATE("R4C",'Mapa final'!$O$28),"")</f>
        <v/>
      </c>
      <c r="K49" s="63" t="str">
        <f>IF(AND('Mapa final'!$Y$29="Muy Baja",'Mapa final'!$AA$29="Leve"),CONCATENATE("R4C",'Mapa final'!$O$29),"")</f>
        <v/>
      </c>
      <c r="L49" s="63" t="str">
        <f>IF(AND('Mapa final'!$Y$30="Muy Baja",'Mapa final'!$AA$30="Leve"),CONCATENATE("R4C",'Mapa final'!$O$30),"")</f>
        <v/>
      </c>
      <c r="M49" s="63" t="str">
        <f>IF(AND('Mapa final'!$Y$31="Muy Baja",'Mapa final'!$AA$31="Leve"),CONCATENATE("R4C",'Mapa final'!$O$31),"")</f>
        <v/>
      </c>
      <c r="N49" s="63" t="str">
        <f>IF(AND('Mapa final'!$Y$32="Muy Baja",'Mapa final'!$AA$32="Leve"),CONCATENATE("R4C",'Mapa final'!$O$32),"")</f>
        <v/>
      </c>
      <c r="O49" s="64" t="str">
        <f>IF(AND('Mapa final'!$Y$33="Muy Baja",'Mapa final'!$AA$33="Leve"),CONCATENATE("R4C",'Mapa final'!$O$33),"")</f>
        <v/>
      </c>
      <c r="P49" s="62" t="str">
        <f>IF(AND('Mapa final'!$Y$28="Muy Baja",'Mapa final'!$AA$28="Menor"),CONCATENATE("R4C",'Mapa final'!$O$28),"")</f>
        <v/>
      </c>
      <c r="Q49" s="63" t="str">
        <f>IF(AND('Mapa final'!$Y$29="Muy Baja",'Mapa final'!$AA$29="Menor"),CONCATENATE("R4C",'Mapa final'!$O$29),"")</f>
        <v/>
      </c>
      <c r="R49" s="63" t="str">
        <f>IF(AND('Mapa final'!$Y$30="Muy Baja",'Mapa final'!$AA$30="Menor"),CONCATENATE("R4C",'Mapa final'!$O$30),"")</f>
        <v/>
      </c>
      <c r="S49" s="63" t="str">
        <f>IF(AND('Mapa final'!$Y$31="Muy Baja",'Mapa final'!$AA$31="Menor"),CONCATENATE("R4C",'Mapa final'!$O$31),"")</f>
        <v/>
      </c>
      <c r="T49" s="63" t="str">
        <f>IF(AND('Mapa final'!$Y$32="Muy Baja",'Mapa final'!$AA$32="Menor"),CONCATENATE("R4C",'Mapa final'!$O$32),"")</f>
        <v/>
      </c>
      <c r="U49" s="64" t="str">
        <f>IF(AND('Mapa final'!$Y$33="Muy Baja",'Mapa final'!$AA$33="Menor"),CONCATENATE("R4C",'Mapa final'!$O$33),"")</f>
        <v/>
      </c>
      <c r="V49" s="53" t="str">
        <f>IF(AND('Mapa final'!$Y$28="Muy Baja",'Mapa final'!$AA$28="Moderado"),CONCATENATE("R4C",'Mapa final'!$O$28),"")</f>
        <v/>
      </c>
      <c r="W49" s="54" t="str">
        <f>IF(AND('Mapa final'!$Y$29="Muy Baja",'Mapa final'!$AA$29="Moderado"),CONCATENATE("R4C",'Mapa final'!$O$29),"")</f>
        <v/>
      </c>
      <c r="X49" s="54" t="str">
        <f>IF(AND('Mapa final'!$Y$30="Muy Baja",'Mapa final'!$AA$30="Moderado"),CONCATENATE("R4C",'Mapa final'!$O$30),"")</f>
        <v/>
      </c>
      <c r="Y49" s="54" t="str">
        <f>IF(AND('Mapa final'!$Y$31="Muy Baja",'Mapa final'!$AA$31="Moderado"),CONCATENATE("R4C",'Mapa final'!$O$31),"")</f>
        <v/>
      </c>
      <c r="Z49" s="54" t="str">
        <f>IF(AND('Mapa final'!$Y$32="Muy Baja",'Mapa final'!$AA$32="Moderado"),CONCATENATE("R4C",'Mapa final'!$O$32),"")</f>
        <v/>
      </c>
      <c r="AA49" s="55" t="str">
        <f>IF(AND('Mapa final'!$Y$33="Muy Baja",'Mapa final'!$AA$33="Moderado"),CONCATENATE("R4C",'Mapa final'!$O$33),"")</f>
        <v/>
      </c>
      <c r="AB49" s="38" t="str">
        <f>IF(AND('Mapa final'!$Y$28="Muy Baja",'Mapa final'!$AA$28="Mayor"),CONCATENATE("R4C",'Mapa final'!$O$28),"")</f>
        <v/>
      </c>
      <c r="AC49" s="39" t="str">
        <f>IF(AND('Mapa final'!$Y$29="Muy Baja",'Mapa final'!$AA$29="Mayor"),CONCATENATE("R4C",'Mapa final'!$O$29),"")</f>
        <v/>
      </c>
      <c r="AD49" s="39" t="str">
        <f>IF(AND('Mapa final'!$Y$30="Muy Baja",'Mapa final'!$AA$30="Mayor"),CONCATENATE("R4C",'Mapa final'!$O$30),"")</f>
        <v/>
      </c>
      <c r="AE49" s="39" t="str">
        <f>IF(AND('Mapa final'!$Y$31="Muy Baja",'Mapa final'!$AA$31="Mayor"),CONCATENATE("R4C",'Mapa final'!$O$31),"")</f>
        <v/>
      </c>
      <c r="AF49" s="39" t="str">
        <f>IF(AND('Mapa final'!$Y$32="Muy Baja",'Mapa final'!$AA$32="Mayor"),CONCATENATE("R4C",'Mapa final'!$O$32),"")</f>
        <v/>
      </c>
      <c r="AG49" s="40" t="str">
        <f>IF(AND('Mapa final'!$Y$33="Muy Baja",'Mapa final'!$AA$33="Mayor"),CONCATENATE("R4C",'Mapa final'!$O$33),"")</f>
        <v/>
      </c>
      <c r="AH49" s="41" t="str">
        <f>IF(AND('Mapa final'!$Y$28="Muy Baja",'Mapa final'!$AA$28="Catastrófico"),CONCATENATE("R4C",'Mapa final'!$O$28),"")</f>
        <v/>
      </c>
      <c r="AI49" s="42" t="str">
        <f>IF(AND('Mapa final'!$Y$29="Muy Baja",'Mapa final'!$AA$29="Catastrófico"),CONCATENATE("R4C",'Mapa final'!$O$29),"")</f>
        <v/>
      </c>
      <c r="AJ49" s="42" t="str">
        <f>IF(AND('Mapa final'!$Y$30="Muy Baja",'Mapa final'!$AA$30="Catastrófico"),CONCATENATE("R4C",'Mapa final'!$O$30),"")</f>
        <v/>
      </c>
      <c r="AK49" s="42" t="str">
        <f>IF(AND('Mapa final'!$Y$31="Muy Baja",'Mapa final'!$AA$31="Catastrófico"),CONCATENATE("R4C",'Mapa final'!$O$31),"")</f>
        <v/>
      </c>
      <c r="AL49" s="42" t="str">
        <f>IF(AND('Mapa final'!$Y$32="Muy Baja",'Mapa final'!$AA$32="Catastrófico"),CONCATENATE("R4C",'Mapa final'!$O$32),"")</f>
        <v/>
      </c>
      <c r="AM49" s="43" t="str">
        <f>IF(AND('Mapa final'!$Y$33="Muy Baja",'Mapa final'!$AA$33="Catastrófico"),CONCATENATE("R4C",'Mapa final'!$O$33),"")</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349"/>
      <c r="C50" s="349"/>
      <c r="D50" s="350"/>
      <c r="E50" s="390"/>
      <c r="F50" s="391"/>
      <c r="G50" s="391"/>
      <c r="H50" s="391"/>
      <c r="I50" s="392"/>
      <c r="J50" s="62" t="str">
        <f>IF(AND('Mapa final'!$Y$34="Muy Baja",'Mapa final'!$AA$34="Leve"),CONCATENATE("R5C",'Mapa final'!$O$34),"")</f>
        <v/>
      </c>
      <c r="K50" s="63" t="str">
        <f>IF(AND('Mapa final'!$Y$35="Muy Baja",'Mapa final'!$AA$35="Leve"),CONCATENATE("R5C",'Mapa final'!$O$35),"")</f>
        <v/>
      </c>
      <c r="L50" s="63" t="str">
        <f>IF(AND('Mapa final'!$Y$36="Muy Baja",'Mapa final'!$AA$36="Leve"),CONCATENATE("R5C",'Mapa final'!$O$36),"")</f>
        <v/>
      </c>
      <c r="M50" s="63" t="str">
        <f>IF(AND('Mapa final'!$Y$37="Muy Baja",'Mapa final'!$AA$37="Leve"),CONCATENATE("R5C",'Mapa final'!$O$37),"")</f>
        <v/>
      </c>
      <c r="N50" s="63" t="str">
        <f>IF(AND('Mapa final'!$Y$38="Muy Baja",'Mapa final'!$AA$38="Leve"),CONCATENATE("R5C",'Mapa final'!$O$38),"")</f>
        <v/>
      </c>
      <c r="O50" s="64" t="str">
        <f>IF(AND('Mapa final'!$Y$39="Muy Baja",'Mapa final'!$AA$39="Leve"),CONCATENATE("R5C",'Mapa final'!$O$39),"")</f>
        <v/>
      </c>
      <c r="P50" s="62" t="str">
        <f>IF(AND('Mapa final'!$Y$34="Muy Baja",'Mapa final'!$AA$34="Menor"),CONCATENATE("R5C",'Mapa final'!$O$34),"")</f>
        <v/>
      </c>
      <c r="Q50" s="63" t="str">
        <f>IF(AND('Mapa final'!$Y$35="Muy Baja",'Mapa final'!$AA$35="Menor"),CONCATENATE("R5C",'Mapa final'!$O$35),"")</f>
        <v/>
      </c>
      <c r="R50" s="63" t="str">
        <f>IF(AND('Mapa final'!$Y$36="Muy Baja",'Mapa final'!$AA$36="Menor"),CONCATENATE("R5C",'Mapa final'!$O$36),"")</f>
        <v/>
      </c>
      <c r="S50" s="63" t="str">
        <f>IF(AND('Mapa final'!$Y$37="Muy Baja",'Mapa final'!$AA$37="Menor"),CONCATENATE("R5C",'Mapa final'!$O$37),"")</f>
        <v/>
      </c>
      <c r="T50" s="63" t="str">
        <f>IF(AND('Mapa final'!$Y$38="Muy Baja",'Mapa final'!$AA$38="Menor"),CONCATENATE("R5C",'Mapa final'!$O$38),"")</f>
        <v/>
      </c>
      <c r="U50" s="64" t="str">
        <f>IF(AND('Mapa final'!$Y$39="Muy Baja",'Mapa final'!$AA$39="Menor"),CONCATENATE("R5C",'Mapa final'!$O$39),"")</f>
        <v/>
      </c>
      <c r="V50" s="53" t="str">
        <f>IF(AND('Mapa final'!$Y$34="Muy Baja",'Mapa final'!$AA$34="Moderado"),CONCATENATE("R5C",'Mapa final'!$O$34),"")</f>
        <v/>
      </c>
      <c r="W50" s="54" t="str">
        <f>IF(AND('Mapa final'!$Y$35="Muy Baja",'Mapa final'!$AA$35="Moderado"),CONCATENATE("R5C",'Mapa final'!$O$35),"")</f>
        <v/>
      </c>
      <c r="X50" s="54" t="str">
        <f>IF(AND('Mapa final'!$Y$36="Muy Baja",'Mapa final'!$AA$36="Moderado"),CONCATENATE("R5C",'Mapa final'!$O$36),"")</f>
        <v/>
      </c>
      <c r="Y50" s="54" t="str">
        <f>IF(AND('Mapa final'!$Y$37="Muy Baja",'Mapa final'!$AA$37="Moderado"),CONCATENATE("R5C",'Mapa final'!$O$37),"")</f>
        <v/>
      </c>
      <c r="Z50" s="54" t="str">
        <f>IF(AND('Mapa final'!$Y$38="Muy Baja",'Mapa final'!$AA$38="Moderado"),CONCATENATE("R5C",'Mapa final'!$O$38),"")</f>
        <v/>
      </c>
      <c r="AA50" s="55" t="str">
        <f>IF(AND('Mapa final'!$Y$39="Muy Baja",'Mapa final'!$AA$39="Moderado"),CONCATENATE("R5C",'Mapa final'!$O$39),"")</f>
        <v/>
      </c>
      <c r="AB50" s="38" t="str">
        <f>IF(AND('Mapa final'!$Y$34="Muy Baja",'Mapa final'!$AA$34="Mayor"),CONCATENATE("R5C",'Mapa final'!$O$34),"")</f>
        <v/>
      </c>
      <c r="AC50" s="39" t="str">
        <f>IF(AND('Mapa final'!$Y$35="Muy Baja",'Mapa final'!$AA$35="Mayor"),CONCATENATE("R5C",'Mapa final'!$O$35),"")</f>
        <v/>
      </c>
      <c r="AD50" s="39" t="str">
        <f>IF(AND('Mapa final'!$Y$36="Muy Baja",'Mapa final'!$AA$36="Mayor"),CONCATENATE("R5C",'Mapa final'!$O$36),"")</f>
        <v/>
      </c>
      <c r="AE50" s="39" t="str">
        <f>IF(AND('Mapa final'!$Y$37="Muy Baja",'Mapa final'!$AA$37="Mayor"),CONCATENATE("R5C",'Mapa final'!$O$37),"")</f>
        <v/>
      </c>
      <c r="AF50" s="39" t="str">
        <f>IF(AND('Mapa final'!$Y$38="Muy Baja",'Mapa final'!$AA$38="Mayor"),CONCATENATE("R5C",'Mapa final'!$O$38),"")</f>
        <v/>
      </c>
      <c r="AG50" s="40" t="str">
        <f>IF(AND('Mapa final'!$Y$39="Muy Baja",'Mapa final'!$AA$39="Mayor"),CONCATENATE("R5C",'Mapa final'!$O$39),"")</f>
        <v/>
      </c>
      <c r="AH50" s="41" t="str">
        <f>IF(AND('Mapa final'!$Y$34="Muy Baja",'Mapa final'!$AA$34="Catastrófico"),CONCATENATE("R5C",'Mapa final'!$O$34),"")</f>
        <v/>
      </c>
      <c r="AI50" s="42" t="str">
        <f>IF(AND('Mapa final'!$Y$35="Muy Baja",'Mapa final'!$AA$35="Catastrófico"),CONCATENATE("R5C",'Mapa final'!$O$35),"")</f>
        <v/>
      </c>
      <c r="AJ50" s="42" t="str">
        <f>IF(AND('Mapa final'!$Y$36="Muy Baja",'Mapa final'!$AA$36="Catastrófico"),CONCATENATE("R5C",'Mapa final'!$O$36),"")</f>
        <v/>
      </c>
      <c r="AK50" s="42" t="str">
        <f>IF(AND('Mapa final'!$Y$37="Muy Baja",'Mapa final'!$AA$37="Catastrófico"),CONCATENATE("R5C",'Mapa final'!$O$37),"")</f>
        <v/>
      </c>
      <c r="AL50" s="42" t="str">
        <f>IF(AND('Mapa final'!$Y$38="Muy Baja",'Mapa final'!$AA$38="Catastrófico"),CONCATENATE("R5C",'Mapa final'!$O$38),"")</f>
        <v/>
      </c>
      <c r="AM50" s="43" t="str">
        <f>IF(AND('Mapa final'!$Y$39="Muy Baja",'Mapa final'!$AA$39="Catastrófico"),CONCATENATE("R5C",'Mapa final'!$O$39),"")</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349"/>
      <c r="C51" s="349"/>
      <c r="D51" s="350"/>
      <c r="E51" s="390"/>
      <c r="F51" s="391"/>
      <c r="G51" s="391"/>
      <c r="H51" s="391"/>
      <c r="I51" s="392"/>
      <c r="J51" s="62" t="str">
        <f>IF(AND('Mapa final'!$Y$40="Muy Baja",'Mapa final'!$AA$40="Leve"),CONCATENATE("R6C",'Mapa final'!$O$40),"")</f>
        <v/>
      </c>
      <c r="K51" s="63" t="str">
        <f>IF(AND('Mapa final'!$Y$41="Muy Baja",'Mapa final'!$AA$41="Leve"),CONCATENATE("R6C",'Mapa final'!$O$41),"")</f>
        <v/>
      </c>
      <c r="L51" s="63" t="str">
        <f>IF(AND('Mapa final'!$Y$42="Muy Baja",'Mapa final'!$AA$42="Leve"),CONCATENATE("R6C",'Mapa final'!$O$42),"")</f>
        <v/>
      </c>
      <c r="M51" s="63" t="str">
        <f>IF(AND('Mapa final'!$Y$43="Muy Baja",'Mapa final'!$AA$43="Leve"),CONCATENATE("R6C",'Mapa final'!$O$43),"")</f>
        <v/>
      </c>
      <c r="N51" s="63" t="str">
        <f>IF(AND('Mapa final'!$Y$44="Muy Baja",'Mapa final'!$AA$44="Leve"),CONCATENATE("R6C",'Mapa final'!$O$44),"")</f>
        <v/>
      </c>
      <c r="O51" s="64" t="str">
        <f>IF(AND('Mapa final'!$Y$45="Muy Baja",'Mapa final'!$AA$45="Leve"),CONCATENATE("R6C",'Mapa final'!$O$45),"")</f>
        <v/>
      </c>
      <c r="P51" s="62" t="str">
        <f>IF(AND('Mapa final'!$Y$40="Muy Baja",'Mapa final'!$AA$40="Menor"),CONCATENATE("R6C",'Mapa final'!$O$40),"")</f>
        <v/>
      </c>
      <c r="Q51" s="63" t="str">
        <f>IF(AND('Mapa final'!$Y$41="Muy Baja",'Mapa final'!$AA$41="Menor"),CONCATENATE("R6C",'Mapa final'!$O$41),"")</f>
        <v/>
      </c>
      <c r="R51" s="63" t="str">
        <f>IF(AND('Mapa final'!$Y$42="Muy Baja",'Mapa final'!$AA$42="Menor"),CONCATENATE("R6C",'Mapa final'!$O$42),"")</f>
        <v/>
      </c>
      <c r="S51" s="63" t="str">
        <f>IF(AND('Mapa final'!$Y$43="Muy Baja",'Mapa final'!$AA$43="Menor"),CONCATENATE("R6C",'Mapa final'!$O$43),"")</f>
        <v/>
      </c>
      <c r="T51" s="63" t="str">
        <f>IF(AND('Mapa final'!$Y$44="Muy Baja",'Mapa final'!$AA$44="Menor"),CONCATENATE("R6C",'Mapa final'!$O$44),"")</f>
        <v/>
      </c>
      <c r="U51" s="64" t="str">
        <f>IF(AND('Mapa final'!$Y$45="Muy Baja",'Mapa final'!$AA$45="Menor"),CONCATENATE("R6C",'Mapa final'!$O$45),"")</f>
        <v/>
      </c>
      <c r="V51" s="53" t="str">
        <f>IF(AND('Mapa final'!$Y$40="Muy Baja",'Mapa final'!$AA$40="Moderado"),CONCATENATE("R6C",'Mapa final'!$O$40),"")</f>
        <v/>
      </c>
      <c r="W51" s="54" t="str">
        <f>IF(AND('Mapa final'!$Y$41="Muy Baja",'Mapa final'!$AA$41="Moderado"),CONCATENATE("R6C",'Mapa final'!$O$41),"")</f>
        <v/>
      </c>
      <c r="X51" s="54" t="str">
        <f>IF(AND('Mapa final'!$Y$42="Muy Baja",'Mapa final'!$AA$42="Moderado"),CONCATENATE("R6C",'Mapa final'!$O$42),"")</f>
        <v/>
      </c>
      <c r="Y51" s="54" t="str">
        <f>IF(AND('Mapa final'!$Y$43="Muy Baja",'Mapa final'!$AA$43="Moderado"),CONCATENATE("R6C",'Mapa final'!$O$43),"")</f>
        <v/>
      </c>
      <c r="Z51" s="54" t="str">
        <f>IF(AND('Mapa final'!$Y$44="Muy Baja",'Mapa final'!$AA$44="Moderado"),CONCATENATE("R6C",'Mapa final'!$O$44),"")</f>
        <v/>
      </c>
      <c r="AA51" s="55" t="str">
        <f>IF(AND('Mapa final'!$Y$45="Muy Baja",'Mapa final'!$AA$45="Moderado"),CONCATENATE("R6C",'Mapa final'!$O$45),"")</f>
        <v/>
      </c>
      <c r="AB51" s="38" t="str">
        <f>IF(AND('Mapa final'!$Y$40="Muy Baja",'Mapa final'!$AA$40="Mayor"),CONCATENATE("R6C",'Mapa final'!$O$40),"")</f>
        <v/>
      </c>
      <c r="AC51" s="39" t="str">
        <f>IF(AND('Mapa final'!$Y$41="Muy Baja",'Mapa final'!$AA$41="Mayor"),CONCATENATE("R6C",'Mapa final'!$O$41),"")</f>
        <v/>
      </c>
      <c r="AD51" s="39" t="str">
        <f>IF(AND('Mapa final'!$Y$42="Muy Baja",'Mapa final'!$AA$42="Mayor"),CONCATENATE("R6C",'Mapa final'!$O$42),"")</f>
        <v/>
      </c>
      <c r="AE51" s="39" t="str">
        <f>IF(AND('Mapa final'!$Y$43="Muy Baja",'Mapa final'!$AA$43="Mayor"),CONCATENATE("R6C",'Mapa final'!$O$43),"")</f>
        <v/>
      </c>
      <c r="AF51" s="39" t="str">
        <f>IF(AND('Mapa final'!$Y$44="Muy Baja",'Mapa final'!$AA$44="Mayor"),CONCATENATE("R6C",'Mapa final'!$O$44),"")</f>
        <v/>
      </c>
      <c r="AG51" s="40" t="str">
        <f>IF(AND('Mapa final'!$Y$45="Muy Baja",'Mapa final'!$AA$45="Mayor"),CONCATENATE("R6C",'Mapa final'!$O$45),"")</f>
        <v/>
      </c>
      <c r="AH51" s="41" t="str">
        <f>IF(AND('Mapa final'!$Y$40="Muy Baja",'Mapa final'!$AA$40="Catastrófico"),CONCATENATE("R6C",'Mapa final'!$O$40),"")</f>
        <v/>
      </c>
      <c r="AI51" s="42" t="str">
        <f>IF(AND('Mapa final'!$Y$41="Muy Baja",'Mapa final'!$AA$41="Catastrófico"),CONCATENATE("R6C",'Mapa final'!$O$41),"")</f>
        <v/>
      </c>
      <c r="AJ51" s="42" t="str">
        <f>IF(AND('Mapa final'!$Y$42="Muy Baja",'Mapa final'!$AA$42="Catastrófico"),CONCATENATE("R6C",'Mapa final'!$O$42),"")</f>
        <v/>
      </c>
      <c r="AK51" s="42" t="str">
        <f>IF(AND('Mapa final'!$Y$43="Muy Baja",'Mapa final'!$AA$43="Catastrófico"),CONCATENATE("R6C",'Mapa final'!$O$43),"")</f>
        <v/>
      </c>
      <c r="AL51" s="42" t="str">
        <f>IF(AND('Mapa final'!$Y$44="Muy Baja",'Mapa final'!$AA$44="Catastrófico"),CONCATENATE("R6C",'Mapa final'!$O$44),"")</f>
        <v/>
      </c>
      <c r="AM51" s="43" t="str">
        <f>IF(AND('Mapa final'!$Y$45="Muy Baja",'Mapa final'!$AA$45="Catastrófico"),CONCATENATE("R6C",'Mapa final'!$O$45),"")</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349"/>
      <c r="C52" s="349"/>
      <c r="D52" s="350"/>
      <c r="E52" s="390"/>
      <c r="F52" s="391"/>
      <c r="G52" s="391"/>
      <c r="H52" s="391"/>
      <c r="I52" s="392"/>
      <c r="J52" s="62" t="str">
        <f>IF(AND('Mapa final'!$Y$46="Muy Baja",'Mapa final'!$AA$46="Leve"),CONCATENATE("R7C",'Mapa final'!$O$46),"")</f>
        <v/>
      </c>
      <c r="K52" s="63" t="str">
        <f>IF(AND('Mapa final'!$Y$47="Muy Baja",'Mapa final'!$AA$47="Leve"),CONCATENATE("R7C",'Mapa final'!$O$47),"")</f>
        <v/>
      </c>
      <c r="L52" s="63" t="str">
        <f>IF(AND('Mapa final'!$Y$48="Muy Baja",'Mapa final'!$AA$48="Leve"),CONCATENATE("R7C",'Mapa final'!$O$48),"")</f>
        <v/>
      </c>
      <c r="M52" s="63" t="str">
        <f>IF(AND('Mapa final'!$Y$49="Muy Baja",'Mapa final'!$AA$49="Leve"),CONCATENATE("R7C",'Mapa final'!$O$49),"")</f>
        <v/>
      </c>
      <c r="N52" s="63" t="str">
        <f>IF(AND('Mapa final'!$Y$50="Muy Baja",'Mapa final'!$AA$50="Leve"),CONCATENATE("R7C",'Mapa final'!$O$50),"")</f>
        <v/>
      </c>
      <c r="O52" s="64" t="str">
        <f>IF(AND('Mapa final'!$Y$51="Muy Baja",'Mapa final'!$AA$51="Leve"),CONCATENATE("R7C",'Mapa final'!$O$51),"")</f>
        <v/>
      </c>
      <c r="P52" s="62" t="str">
        <f>IF(AND('Mapa final'!$Y$46="Muy Baja",'Mapa final'!$AA$46="Menor"),CONCATENATE("R7C",'Mapa final'!$O$46),"")</f>
        <v/>
      </c>
      <c r="Q52" s="63" t="str">
        <f>IF(AND('Mapa final'!$Y$47="Muy Baja",'Mapa final'!$AA$47="Menor"),CONCATENATE("R7C",'Mapa final'!$O$47),"")</f>
        <v/>
      </c>
      <c r="R52" s="63" t="str">
        <f>IF(AND('Mapa final'!$Y$48="Muy Baja",'Mapa final'!$AA$48="Menor"),CONCATENATE("R7C",'Mapa final'!$O$48),"")</f>
        <v/>
      </c>
      <c r="S52" s="63" t="str">
        <f>IF(AND('Mapa final'!$Y$49="Muy Baja",'Mapa final'!$AA$49="Menor"),CONCATENATE("R7C",'Mapa final'!$O$49),"")</f>
        <v/>
      </c>
      <c r="T52" s="63" t="str">
        <f>IF(AND('Mapa final'!$Y$50="Muy Baja",'Mapa final'!$AA$50="Menor"),CONCATENATE("R7C",'Mapa final'!$O$50),"")</f>
        <v/>
      </c>
      <c r="U52" s="64" t="str">
        <f>IF(AND('Mapa final'!$Y$51="Muy Baja",'Mapa final'!$AA$51="Menor"),CONCATENATE("R7C",'Mapa final'!$O$51),"")</f>
        <v/>
      </c>
      <c r="V52" s="53" t="str">
        <f>IF(AND('Mapa final'!$Y$46="Muy Baja",'Mapa final'!$AA$46="Moderado"),CONCATENATE("R7C",'Mapa final'!$O$46),"")</f>
        <v/>
      </c>
      <c r="W52" s="54" t="str">
        <f>IF(AND('Mapa final'!$Y$47="Muy Baja",'Mapa final'!$AA$47="Moderado"),CONCATENATE("R7C",'Mapa final'!$O$47),"")</f>
        <v/>
      </c>
      <c r="X52" s="54" t="str">
        <f>IF(AND('Mapa final'!$Y$48="Muy Baja",'Mapa final'!$AA$48="Moderado"),CONCATENATE("R7C",'Mapa final'!$O$48),"")</f>
        <v/>
      </c>
      <c r="Y52" s="54" t="str">
        <f>IF(AND('Mapa final'!$Y$49="Muy Baja",'Mapa final'!$AA$49="Moderado"),CONCATENATE("R7C",'Mapa final'!$O$49),"")</f>
        <v/>
      </c>
      <c r="Z52" s="54" t="str">
        <f>IF(AND('Mapa final'!$Y$50="Muy Baja",'Mapa final'!$AA$50="Moderado"),CONCATENATE("R7C",'Mapa final'!$O$50),"")</f>
        <v/>
      </c>
      <c r="AA52" s="55" t="str">
        <f>IF(AND('Mapa final'!$Y$51="Muy Baja",'Mapa final'!$AA$51="Moderado"),CONCATENATE("R7C",'Mapa final'!$O$51),"")</f>
        <v/>
      </c>
      <c r="AB52" s="38" t="str">
        <f>IF(AND('Mapa final'!$Y$46="Muy Baja",'Mapa final'!$AA$46="Mayor"),CONCATENATE("R7C",'Mapa final'!$O$46),"")</f>
        <v/>
      </c>
      <c r="AC52" s="39" t="str">
        <f>IF(AND('Mapa final'!$Y$47="Muy Baja",'Mapa final'!$AA$47="Mayor"),CONCATENATE("R7C",'Mapa final'!$O$47),"")</f>
        <v/>
      </c>
      <c r="AD52" s="39" t="str">
        <f>IF(AND('Mapa final'!$Y$48="Muy Baja",'Mapa final'!$AA$48="Mayor"),CONCATENATE("R7C",'Mapa final'!$O$48),"")</f>
        <v/>
      </c>
      <c r="AE52" s="39" t="str">
        <f>IF(AND('Mapa final'!$Y$49="Muy Baja",'Mapa final'!$AA$49="Mayor"),CONCATENATE("R7C",'Mapa final'!$O$49),"")</f>
        <v/>
      </c>
      <c r="AF52" s="39" t="str">
        <f>IF(AND('Mapa final'!$Y$50="Muy Baja",'Mapa final'!$AA$50="Mayor"),CONCATENATE("R7C",'Mapa final'!$O$50),"")</f>
        <v/>
      </c>
      <c r="AG52" s="40" t="str">
        <f>IF(AND('Mapa final'!$Y$51="Muy Baja",'Mapa final'!$AA$51="Mayor"),CONCATENATE("R7C",'Mapa final'!$O$51),"")</f>
        <v/>
      </c>
      <c r="AH52" s="41" t="str">
        <f>IF(AND('Mapa final'!$Y$46="Muy Baja",'Mapa final'!$AA$46="Catastrófico"),CONCATENATE("R7C",'Mapa final'!$O$46),"")</f>
        <v/>
      </c>
      <c r="AI52" s="42" t="str">
        <f>IF(AND('Mapa final'!$Y$47="Muy Baja",'Mapa final'!$AA$47="Catastrófico"),CONCATENATE("R7C",'Mapa final'!$O$47),"")</f>
        <v/>
      </c>
      <c r="AJ52" s="42" t="str">
        <f>IF(AND('Mapa final'!$Y$48="Muy Baja",'Mapa final'!$AA$48="Catastrófico"),CONCATENATE("R7C",'Mapa final'!$O$48),"")</f>
        <v/>
      </c>
      <c r="AK52" s="42" t="str">
        <f>IF(AND('Mapa final'!$Y$49="Muy Baja",'Mapa final'!$AA$49="Catastrófico"),CONCATENATE("R7C",'Mapa final'!$O$49),"")</f>
        <v/>
      </c>
      <c r="AL52" s="42" t="str">
        <f>IF(AND('Mapa final'!$Y$50="Muy Baja",'Mapa final'!$AA$50="Catastrófico"),CONCATENATE("R7C",'Mapa final'!$O$50),"")</f>
        <v/>
      </c>
      <c r="AM52" s="43" t="str">
        <f>IF(AND('Mapa final'!$Y$51="Muy Baja",'Mapa final'!$AA$51="Catastrófico"),CONCATENATE("R7C",'Mapa final'!$O$51),"")</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349"/>
      <c r="C53" s="349"/>
      <c r="D53" s="350"/>
      <c r="E53" s="390"/>
      <c r="F53" s="391"/>
      <c r="G53" s="391"/>
      <c r="H53" s="391"/>
      <c r="I53" s="392"/>
      <c r="J53" s="62" t="str">
        <f>IF(AND('Mapa final'!$Y$52="Muy Baja",'Mapa final'!$AA$52="Leve"),CONCATENATE("R8C",'Mapa final'!$O$52),"")</f>
        <v/>
      </c>
      <c r="K53" s="63" t="str">
        <f>IF(AND('Mapa final'!$Y$53="Muy Baja",'Mapa final'!$AA$53="Leve"),CONCATENATE("R8C",'Mapa final'!$O$53),"")</f>
        <v/>
      </c>
      <c r="L53" s="63" t="str">
        <f>IF(AND('Mapa final'!$Y$54="Muy Baja",'Mapa final'!$AA$54="Leve"),CONCATENATE("R8C",'Mapa final'!$O$54),"")</f>
        <v/>
      </c>
      <c r="M53" s="63" t="str">
        <f>IF(AND('Mapa final'!$Y$55="Muy Baja",'Mapa final'!$AA$55="Leve"),CONCATENATE("R8C",'Mapa final'!$O$55),"")</f>
        <v/>
      </c>
      <c r="N53" s="63" t="str">
        <f>IF(AND('Mapa final'!$Y$56="Muy Baja",'Mapa final'!$AA$56="Leve"),CONCATENATE("R8C",'Mapa final'!$O$56),"")</f>
        <v/>
      </c>
      <c r="O53" s="64" t="str">
        <f>IF(AND('Mapa final'!$Y$57="Muy Baja",'Mapa final'!$AA$57="Leve"),CONCATENATE("R8C",'Mapa final'!$O$57),"")</f>
        <v/>
      </c>
      <c r="P53" s="62" t="str">
        <f>IF(AND('Mapa final'!$Y$52="Muy Baja",'Mapa final'!$AA$52="Menor"),CONCATENATE("R8C",'Mapa final'!$O$52),"")</f>
        <v/>
      </c>
      <c r="Q53" s="63" t="str">
        <f>IF(AND('Mapa final'!$Y$53="Muy Baja",'Mapa final'!$AA$53="Menor"),CONCATENATE("R8C",'Mapa final'!$O$53),"")</f>
        <v/>
      </c>
      <c r="R53" s="63" t="str">
        <f>IF(AND('Mapa final'!$Y$54="Muy Baja",'Mapa final'!$AA$54="Menor"),CONCATENATE("R8C",'Mapa final'!$O$54),"")</f>
        <v/>
      </c>
      <c r="S53" s="63" t="str">
        <f>IF(AND('Mapa final'!$Y$55="Muy Baja",'Mapa final'!$AA$55="Menor"),CONCATENATE("R8C",'Mapa final'!$O$55),"")</f>
        <v/>
      </c>
      <c r="T53" s="63" t="str">
        <f>IF(AND('Mapa final'!$Y$56="Muy Baja",'Mapa final'!$AA$56="Menor"),CONCATENATE("R8C",'Mapa final'!$O$56),"")</f>
        <v/>
      </c>
      <c r="U53" s="64" t="str">
        <f>IF(AND('Mapa final'!$Y$57="Muy Baja",'Mapa final'!$AA$57="Menor"),CONCATENATE("R8C",'Mapa final'!$O$57),"")</f>
        <v/>
      </c>
      <c r="V53" s="53" t="str">
        <f>IF(AND('Mapa final'!$Y$52="Muy Baja",'Mapa final'!$AA$52="Moderado"),CONCATENATE("R8C",'Mapa final'!$O$52),"")</f>
        <v/>
      </c>
      <c r="W53" s="54" t="str">
        <f>IF(AND('Mapa final'!$Y$53="Muy Baja",'Mapa final'!$AA$53="Moderado"),CONCATENATE("R8C",'Mapa final'!$O$53),"")</f>
        <v/>
      </c>
      <c r="X53" s="54" t="str">
        <f>IF(AND('Mapa final'!$Y$54="Muy Baja",'Mapa final'!$AA$54="Moderado"),CONCATENATE("R8C",'Mapa final'!$O$54),"")</f>
        <v/>
      </c>
      <c r="Y53" s="54" t="str">
        <f>IF(AND('Mapa final'!$Y$55="Muy Baja",'Mapa final'!$AA$55="Moderado"),CONCATENATE("R8C",'Mapa final'!$O$55),"")</f>
        <v/>
      </c>
      <c r="Z53" s="54" t="str">
        <f>IF(AND('Mapa final'!$Y$56="Muy Baja",'Mapa final'!$AA$56="Moderado"),CONCATENATE("R8C",'Mapa final'!$O$56),"")</f>
        <v/>
      </c>
      <c r="AA53" s="55" t="str">
        <f>IF(AND('Mapa final'!$Y$57="Muy Baja",'Mapa final'!$AA$57="Moderado"),CONCATENATE("R8C",'Mapa final'!$O$57),"")</f>
        <v/>
      </c>
      <c r="AB53" s="38" t="str">
        <f>IF(AND('Mapa final'!$Y$52="Muy Baja",'Mapa final'!$AA$52="Mayor"),CONCATENATE("R8C",'Mapa final'!$O$52),"")</f>
        <v/>
      </c>
      <c r="AC53" s="39" t="str">
        <f>IF(AND('Mapa final'!$Y$53="Muy Baja",'Mapa final'!$AA$53="Mayor"),CONCATENATE("R8C",'Mapa final'!$O$53),"")</f>
        <v/>
      </c>
      <c r="AD53" s="39" t="str">
        <f>IF(AND('Mapa final'!$Y$54="Muy Baja",'Mapa final'!$AA$54="Mayor"),CONCATENATE("R8C",'Mapa final'!$O$54),"")</f>
        <v/>
      </c>
      <c r="AE53" s="39" t="str">
        <f>IF(AND('Mapa final'!$Y$55="Muy Baja",'Mapa final'!$AA$55="Mayor"),CONCATENATE("R8C",'Mapa final'!$O$55),"")</f>
        <v/>
      </c>
      <c r="AF53" s="39" t="str">
        <f>IF(AND('Mapa final'!$Y$56="Muy Baja",'Mapa final'!$AA$56="Mayor"),CONCATENATE("R8C",'Mapa final'!$O$56),"")</f>
        <v/>
      </c>
      <c r="AG53" s="40" t="str">
        <f>IF(AND('Mapa final'!$Y$57="Muy Baja",'Mapa final'!$AA$57="Mayor"),CONCATENATE("R8C",'Mapa final'!$O$57),"")</f>
        <v/>
      </c>
      <c r="AH53" s="41" t="str">
        <f>IF(AND('Mapa final'!$Y$52="Muy Baja",'Mapa final'!$AA$52="Catastrófico"),CONCATENATE("R8C",'Mapa final'!$O$52),"")</f>
        <v/>
      </c>
      <c r="AI53" s="42" t="str">
        <f>IF(AND('Mapa final'!$Y$53="Muy Baja",'Mapa final'!$AA$53="Catastrófico"),CONCATENATE("R8C",'Mapa final'!$O$53),"")</f>
        <v/>
      </c>
      <c r="AJ53" s="42" t="str">
        <f>IF(AND('Mapa final'!$Y$54="Muy Baja",'Mapa final'!$AA$54="Catastrófico"),CONCATENATE("R8C",'Mapa final'!$O$54),"")</f>
        <v/>
      </c>
      <c r="AK53" s="42" t="str">
        <f>IF(AND('Mapa final'!$Y$55="Muy Baja",'Mapa final'!$AA$55="Catastrófico"),CONCATENATE("R8C",'Mapa final'!$O$55),"")</f>
        <v/>
      </c>
      <c r="AL53" s="42" t="str">
        <f>IF(AND('Mapa final'!$Y$56="Muy Baja",'Mapa final'!$AA$56="Catastrófico"),CONCATENATE("R8C",'Mapa final'!$O$56),"")</f>
        <v/>
      </c>
      <c r="AM53" s="43" t="str">
        <f>IF(AND('Mapa final'!$Y$57="Muy Baja",'Mapa final'!$AA$57="Catastrófico"),CONCATENATE("R8C",'Mapa final'!$O$57),"")</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349"/>
      <c r="C54" s="349"/>
      <c r="D54" s="350"/>
      <c r="E54" s="390"/>
      <c r="F54" s="391"/>
      <c r="G54" s="391"/>
      <c r="H54" s="391"/>
      <c r="I54" s="392"/>
      <c r="J54" s="62" t="str">
        <f>IF(AND('Mapa final'!$Y$58="Muy Baja",'Mapa final'!$AA$58="Leve"),CONCATENATE("R9C",'Mapa final'!$O$58),"")</f>
        <v/>
      </c>
      <c r="K54" s="63" t="str">
        <f>IF(AND('Mapa final'!$Y$59="Muy Baja",'Mapa final'!$AA$59="Leve"),CONCATENATE("R9C",'Mapa final'!$O$59),"")</f>
        <v/>
      </c>
      <c r="L54" s="63" t="str">
        <f>IF(AND('Mapa final'!$Y$60="Muy Baja",'Mapa final'!$AA$60="Leve"),CONCATENATE("R9C",'Mapa final'!$O$60),"")</f>
        <v/>
      </c>
      <c r="M54" s="63" t="str">
        <f>IF(AND('Mapa final'!$Y$61="Muy Baja",'Mapa final'!$AA$61="Leve"),CONCATENATE("R9C",'Mapa final'!$O$61),"")</f>
        <v/>
      </c>
      <c r="N54" s="63" t="str">
        <f>IF(AND('Mapa final'!$Y$62="Muy Baja",'Mapa final'!$AA$62="Leve"),CONCATENATE("R9C",'Mapa final'!$O$62),"")</f>
        <v/>
      </c>
      <c r="O54" s="64" t="str">
        <f>IF(AND('Mapa final'!$Y$63="Muy Baja",'Mapa final'!$AA$63="Leve"),CONCATENATE("R9C",'Mapa final'!$O$63),"")</f>
        <v/>
      </c>
      <c r="P54" s="62" t="str">
        <f>IF(AND('Mapa final'!$Y$58="Muy Baja",'Mapa final'!$AA$58="Menor"),CONCATENATE("R9C",'Mapa final'!$O$58),"")</f>
        <v/>
      </c>
      <c r="Q54" s="63" t="str">
        <f>IF(AND('Mapa final'!$Y$59="Muy Baja",'Mapa final'!$AA$59="Menor"),CONCATENATE("R9C",'Mapa final'!$O$59),"")</f>
        <v/>
      </c>
      <c r="R54" s="63" t="str">
        <f>IF(AND('Mapa final'!$Y$60="Muy Baja",'Mapa final'!$AA$60="Menor"),CONCATENATE("R9C",'Mapa final'!$O$60),"")</f>
        <v/>
      </c>
      <c r="S54" s="63" t="str">
        <f>IF(AND('Mapa final'!$Y$61="Muy Baja",'Mapa final'!$AA$61="Menor"),CONCATENATE("R9C",'Mapa final'!$O$61),"")</f>
        <v/>
      </c>
      <c r="T54" s="63" t="str">
        <f>IF(AND('Mapa final'!$Y$62="Muy Baja",'Mapa final'!$AA$62="Menor"),CONCATENATE("R9C",'Mapa final'!$O$62),"")</f>
        <v/>
      </c>
      <c r="U54" s="64" t="str">
        <f>IF(AND('Mapa final'!$Y$63="Muy Baja",'Mapa final'!$AA$63="Menor"),CONCATENATE("R9C",'Mapa final'!$O$63),"")</f>
        <v/>
      </c>
      <c r="V54" s="53" t="str">
        <f>IF(AND('Mapa final'!$Y$58="Muy Baja",'Mapa final'!$AA$58="Moderado"),CONCATENATE("R9C",'Mapa final'!$O$58),"")</f>
        <v/>
      </c>
      <c r="W54" s="54" t="str">
        <f>IF(AND('Mapa final'!$Y$59="Muy Baja",'Mapa final'!$AA$59="Moderado"),CONCATENATE("R9C",'Mapa final'!$O$59),"")</f>
        <v/>
      </c>
      <c r="X54" s="54" t="str">
        <f>IF(AND('Mapa final'!$Y$60="Muy Baja",'Mapa final'!$AA$60="Moderado"),CONCATENATE("R9C",'Mapa final'!$O$60),"")</f>
        <v/>
      </c>
      <c r="Y54" s="54" t="str">
        <f>IF(AND('Mapa final'!$Y$61="Muy Baja",'Mapa final'!$AA$61="Moderado"),CONCATENATE("R9C",'Mapa final'!$O$61),"")</f>
        <v/>
      </c>
      <c r="Z54" s="54" t="str">
        <f>IF(AND('Mapa final'!$Y$62="Muy Baja",'Mapa final'!$AA$62="Moderado"),CONCATENATE("R9C",'Mapa final'!$O$62),"")</f>
        <v/>
      </c>
      <c r="AA54" s="55" t="str">
        <f>IF(AND('Mapa final'!$Y$63="Muy Baja",'Mapa final'!$AA$63="Moderado"),CONCATENATE("R9C",'Mapa final'!$O$63),"")</f>
        <v/>
      </c>
      <c r="AB54" s="38" t="str">
        <f>IF(AND('Mapa final'!$Y$58="Muy Baja",'Mapa final'!$AA$58="Mayor"),CONCATENATE("R9C",'Mapa final'!$O$58),"")</f>
        <v/>
      </c>
      <c r="AC54" s="39" t="str">
        <f>IF(AND('Mapa final'!$Y$59="Muy Baja",'Mapa final'!$AA$59="Mayor"),CONCATENATE("R9C",'Mapa final'!$O$59),"")</f>
        <v/>
      </c>
      <c r="AD54" s="39" t="str">
        <f>IF(AND('Mapa final'!$Y$60="Muy Baja",'Mapa final'!$AA$60="Mayor"),CONCATENATE("R9C",'Mapa final'!$O$60),"")</f>
        <v/>
      </c>
      <c r="AE54" s="39" t="str">
        <f>IF(AND('Mapa final'!$Y$61="Muy Baja",'Mapa final'!$AA$61="Mayor"),CONCATENATE("R9C",'Mapa final'!$O$61),"")</f>
        <v/>
      </c>
      <c r="AF54" s="39" t="str">
        <f>IF(AND('Mapa final'!$Y$62="Muy Baja",'Mapa final'!$AA$62="Mayor"),CONCATENATE("R9C",'Mapa final'!$O$62),"")</f>
        <v/>
      </c>
      <c r="AG54" s="40" t="str">
        <f>IF(AND('Mapa final'!$Y$63="Muy Baja",'Mapa final'!$AA$63="Mayor"),CONCATENATE("R9C",'Mapa final'!$O$63),"")</f>
        <v/>
      </c>
      <c r="AH54" s="41" t="str">
        <f>IF(AND('Mapa final'!$Y$58="Muy Baja",'Mapa final'!$AA$58="Catastrófico"),CONCATENATE("R9C",'Mapa final'!$O$58),"")</f>
        <v/>
      </c>
      <c r="AI54" s="42" t="str">
        <f>IF(AND('Mapa final'!$Y$59="Muy Baja",'Mapa final'!$AA$59="Catastrófico"),CONCATENATE("R9C",'Mapa final'!$O$59),"")</f>
        <v/>
      </c>
      <c r="AJ54" s="42" t="str">
        <f>IF(AND('Mapa final'!$Y$60="Muy Baja",'Mapa final'!$AA$60="Catastrófico"),CONCATENATE("R9C",'Mapa final'!$O$60),"")</f>
        <v/>
      </c>
      <c r="AK54" s="42" t="str">
        <f>IF(AND('Mapa final'!$Y$61="Muy Baja",'Mapa final'!$AA$61="Catastrófico"),CONCATENATE("R9C",'Mapa final'!$O$61),"")</f>
        <v/>
      </c>
      <c r="AL54" s="42" t="str">
        <f>IF(AND('Mapa final'!$Y$62="Muy Baja",'Mapa final'!$AA$62="Catastrófico"),CONCATENATE("R9C",'Mapa final'!$O$62),"")</f>
        <v/>
      </c>
      <c r="AM54" s="43" t="str">
        <f>IF(AND('Mapa final'!$Y$63="Muy Baja",'Mapa final'!$AA$63="Catastrófico"),CONCATENATE("R9C",'Mapa final'!$O$63),"")</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349"/>
      <c r="C55" s="349"/>
      <c r="D55" s="350"/>
      <c r="E55" s="393"/>
      <c r="F55" s="394"/>
      <c r="G55" s="394"/>
      <c r="H55" s="394"/>
      <c r="I55" s="395"/>
      <c r="J55" s="65" t="str">
        <f>IF(AND('Mapa final'!$Y$64="Muy Baja",'Mapa final'!$AA$64="Leve"),CONCATENATE("R10C",'Mapa final'!$O$64),"")</f>
        <v/>
      </c>
      <c r="K55" s="66" t="str">
        <f>IF(AND('Mapa final'!$Y$65="Muy Baja",'Mapa final'!$AA$65="Leve"),CONCATENATE("R10C",'Mapa final'!$O$65),"")</f>
        <v/>
      </c>
      <c r="L55" s="66" t="str">
        <f>IF(AND('Mapa final'!$Y$66="Muy Baja",'Mapa final'!$AA$66="Leve"),CONCATENATE("R10C",'Mapa final'!$O$66),"")</f>
        <v/>
      </c>
      <c r="M55" s="66" t="str">
        <f>IF(AND('Mapa final'!$Y$67="Muy Baja",'Mapa final'!$AA$67="Leve"),CONCATENATE("R10C",'Mapa final'!$O$67),"")</f>
        <v/>
      </c>
      <c r="N55" s="66" t="str">
        <f>IF(AND('Mapa final'!$Y$68="Muy Baja",'Mapa final'!$AA$68="Leve"),CONCATENATE("R10C",'Mapa final'!$O$68),"")</f>
        <v/>
      </c>
      <c r="O55" s="67" t="str">
        <f>IF(AND('Mapa final'!$Y$69="Muy Baja",'Mapa final'!$AA$69="Leve"),CONCATENATE("R10C",'Mapa final'!$O$69),"")</f>
        <v/>
      </c>
      <c r="P55" s="65" t="str">
        <f>IF(AND('Mapa final'!$Y$64="Muy Baja",'Mapa final'!$AA$64="Menor"),CONCATENATE("R10C",'Mapa final'!$O$64),"")</f>
        <v/>
      </c>
      <c r="Q55" s="66" t="str">
        <f>IF(AND('Mapa final'!$Y$65="Muy Baja",'Mapa final'!$AA$65="Menor"),CONCATENATE("R10C",'Mapa final'!$O$65),"")</f>
        <v/>
      </c>
      <c r="R55" s="66" t="str">
        <f>IF(AND('Mapa final'!$Y$66="Muy Baja",'Mapa final'!$AA$66="Menor"),CONCATENATE("R10C",'Mapa final'!$O$66),"")</f>
        <v/>
      </c>
      <c r="S55" s="66" t="str">
        <f>IF(AND('Mapa final'!$Y$67="Muy Baja",'Mapa final'!$AA$67="Menor"),CONCATENATE("R10C",'Mapa final'!$O$67),"")</f>
        <v/>
      </c>
      <c r="T55" s="66" t="str">
        <f>IF(AND('Mapa final'!$Y$68="Muy Baja",'Mapa final'!$AA$68="Menor"),CONCATENATE("R10C",'Mapa final'!$O$68),"")</f>
        <v/>
      </c>
      <c r="U55" s="67" t="str">
        <f>IF(AND('Mapa final'!$Y$69="Muy Baja",'Mapa final'!$AA$69="Menor"),CONCATENATE("R10C",'Mapa final'!$O$69),"")</f>
        <v/>
      </c>
      <c r="V55" s="56" t="str">
        <f>IF(AND('Mapa final'!$Y$64="Muy Baja",'Mapa final'!$AA$64="Moderado"),CONCATENATE("R10C",'Mapa final'!$O$64),"")</f>
        <v/>
      </c>
      <c r="W55" s="57" t="str">
        <f>IF(AND('Mapa final'!$Y$65="Muy Baja",'Mapa final'!$AA$65="Moderado"),CONCATENATE("R10C",'Mapa final'!$O$65),"")</f>
        <v/>
      </c>
      <c r="X55" s="57" t="str">
        <f>IF(AND('Mapa final'!$Y$66="Muy Baja",'Mapa final'!$AA$66="Moderado"),CONCATENATE("R10C",'Mapa final'!$O$66),"")</f>
        <v/>
      </c>
      <c r="Y55" s="57" t="str">
        <f>IF(AND('Mapa final'!$Y$67="Muy Baja",'Mapa final'!$AA$67="Moderado"),CONCATENATE("R10C",'Mapa final'!$O$67),"")</f>
        <v/>
      </c>
      <c r="Z55" s="57" t="str">
        <f>IF(AND('Mapa final'!$Y$68="Muy Baja",'Mapa final'!$AA$68="Moderado"),CONCATENATE("R10C",'Mapa final'!$O$68),"")</f>
        <v/>
      </c>
      <c r="AA55" s="58" t="str">
        <f>IF(AND('Mapa final'!$Y$69="Muy Baja",'Mapa final'!$AA$69="Moderado"),CONCATENATE("R10C",'Mapa final'!$O$69),"")</f>
        <v/>
      </c>
      <c r="AB55" s="44" t="str">
        <f>IF(AND('Mapa final'!$Y$64="Muy Baja",'Mapa final'!$AA$64="Mayor"),CONCATENATE("R10C",'Mapa final'!$O$64),"")</f>
        <v/>
      </c>
      <c r="AC55" s="45" t="str">
        <f>IF(AND('Mapa final'!$Y$65="Muy Baja",'Mapa final'!$AA$65="Mayor"),CONCATENATE("R10C",'Mapa final'!$O$65),"")</f>
        <v/>
      </c>
      <c r="AD55" s="45" t="str">
        <f>IF(AND('Mapa final'!$Y$66="Muy Baja",'Mapa final'!$AA$66="Mayor"),CONCATENATE("R10C",'Mapa final'!$O$66),"")</f>
        <v/>
      </c>
      <c r="AE55" s="45" t="str">
        <f>IF(AND('Mapa final'!$Y$67="Muy Baja",'Mapa final'!$AA$67="Mayor"),CONCATENATE("R10C",'Mapa final'!$O$67),"")</f>
        <v/>
      </c>
      <c r="AF55" s="45" t="str">
        <f>IF(AND('Mapa final'!$Y$68="Muy Baja",'Mapa final'!$AA$68="Mayor"),CONCATENATE("R10C",'Mapa final'!$O$68),"")</f>
        <v/>
      </c>
      <c r="AG55" s="46" t="str">
        <f>IF(AND('Mapa final'!$Y$69="Muy Baja",'Mapa final'!$AA$69="Mayor"),CONCATENATE("R10C",'Mapa final'!$O$69),"")</f>
        <v/>
      </c>
      <c r="AH55" s="47" t="str">
        <f>IF(AND('Mapa final'!$Y$64="Muy Baja",'Mapa final'!$AA$64="Catastrófico"),CONCATENATE("R10C",'Mapa final'!$O$64),"")</f>
        <v/>
      </c>
      <c r="AI55" s="48" t="str">
        <f>IF(AND('Mapa final'!$Y$65="Muy Baja",'Mapa final'!$AA$65="Catastrófico"),CONCATENATE("R10C",'Mapa final'!$O$65),"")</f>
        <v/>
      </c>
      <c r="AJ55" s="48" t="str">
        <f>IF(AND('Mapa final'!$Y$66="Muy Baja",'Mapa final'!$AA$66="Catastrófico"),CONCATENATE("R10C",'Mapa final'!$O$66),"")</f>
        <v/>
      </c>
      <c r="AK55" s="48" t="str">
        <f>IF(AND('Mapa final'!$Y$67="Muy Baja",'Mapa final'!$AA$67="Catastrófico"),CONCATENATE("R10C",'Mapa final'!$O$67),"")</f>
        <v/>
      </c>
      <c r="AL55" s="48" t="str">
        <f>IF(AND('Mapa final'!$Y$68="Muy Baja",'Mapa final'!$AA$68="Catastrófico"),CONCATENATE("R10C",'Mapa final'!$O$68),"")</f>
        <v/>
      </c>
      <c r="AM55" s="49" t="str">
        <f>IF(AND('Mapa final'!$Y$69="Muy Baja",'Mapa final'!$AA$69="Catastrófico"),CONCATENATE("R10C",'Mapa final'!$O$69),"")</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387" t="s">
        <v>112</v>
      </c>
      <c r="K56" s="388"/>
      <c r="L56" s="388"/>
      <c r="M56" s="388"/>
      <c r="N56" s="388"/>
      <c r="O56" s="389"/>
      <c r="P56" s="387" t="s">
        <v>111</v>
      </c>
      <c r="Q56" s="388"/>
      <c r="R56" s="388"/>
      <c r="S56" s="388"/>
      <c r="T56" s="388"/>
      <c r="U56" s="389"/>
      <c r="V56" s="387" t="s">
        <v>110</v>
      </c>
      <c r="W56" s="388"/>
      <c r="X56" s="388"/>
      <c r="Y56" s="388"/>
      <c r="Z56" s="388"/>
      <c r="AA56" s="389"/>
      <c r="AB56" s="387" t="s">
        <v>109</v>
      </c>
      <c r="AC56" s="396"/>
      <c r="AD56" s="388"/>
      <c r="AE56" s="388"/>
      <c r="AF56" s="388"/>
      <c r="AG56" s="389"/>
      <c r="AH56" s="387" t="s">
        <v>108</v>
      </c>
      <c r="AI56" s="388"/>
      <c r="AJ56" s="388"/>
      <c r="AK56" s="388"/>
      <c r="AL56" s="388"/>
      <c r="AM56" s="38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390"/>
      <c r="K57" s="391"/>
      <c r="L57" s="391"/>
      <c r="M57" s="391"/>
      <c r="N57" s="391"/>
      <c r="O57" s="392"/>
      <c r="P57" s="390"/>
      <c r="Q57" s="391"/>
      <c r="R57" s="391"/>
      <c r="S57" s="391"/>
      <c r="T57" s="391"/>
      <c r="U57" s="392"/>
      <c r="V57" s="390"/>
      <c r="W57" s="391"/>
      <c r="X57" s="391"/>
      <c r="Y57" s="391"/>
      <c r="Z57" s="391"/>
      <c r="AA57" s="392"/>
      <c r="AB57" s="390"/>
      <c r="AC57" s="391"/>
      <c r="AD57" s="391"/>
      <c r="AE57" s="391"/>
      <c r="AF57" s="391"/>
      <c r="AG57" s="392"/>
      <c r="AH57" s="390"/>
      <c r="AI57" s="391"/>
      <c r="AJ57" s="391"/>
      <c r="AK57" s="391"/>
      <c r="AL57" s="391"/>
      <c r="AM57" s="392"/>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390"/>
      <c r="K58" s="391"/>
      <c r="L58" s="391"/>
      <c r="M58" s="391"/>
      <c r="N58" s="391"/>
      <c r="O58" s="392"/>
      <c r="P58" s="390"/>
      <c r="Q58" s="391"/>
      <c r="R58" s="391"/>
      <c r="S58" s="391"/>
      <c r="T58" s="391"/>
      <c r="U58" s="392"/>
      <c r="V58" s="390"/>
      <c r="W58" s="391"/>
      <c r="X58" s="391"/>
      <c r="Y58" s="391"/>
      <c r="Z58" s="391"/>
      <c r="AA58" s="392"/>
      <c r="AB58" s="390"/>
      <c r="AC58" s="391"/>
      <c r="AD58" s="391"/>
      <c r="AE58" s="391"/>
      <c r="AF58" s="391"/>
      <c r="AG58" s="392"/>
      <c r="AH58" s="390"/>
      <c r="AI58" s="391"/>
      <c r="AJ58" s="391"/>
      <c r="AK58" s="391"/>
      <c r="AL58" s="391"/>
      <c r="AM58" s="392"/>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390"/>
      <c r="K59" s="391"/>
      <c r="L59" s="391"/>
      <c r="M59" s="391"/>
      <c r="N59" s="391"/>
      <c r="O59" s="392"/>
      <c r="P59" s="390"/>
      <c r="Q59" s="391"/>
      <c r="R59" s="391"/>
      <c r="S59" s="391"/>
      <c r="T59" s="391"/>
      <c r="U59" s="392"/>
      <c r="V59" s="390"/>
      <c r="W59" s="391"/>
      <c r="X59" s="391"/>
      <c r="Y59" s="391"/>
      <c r="Z59" s="391"/>
      <c r="AA59" s="392"/>
      <c r="AB59" s="390"/>
      <c r="AC59" s="391"/>
      <c r="AD59" s="391"/>
      <c r="AE59" s="391"/>
      <c r="AF59" s="391"/>
      <c r="AG59" s="392"/>
      <c r="AH59" s="390"/>
      <c r="AI59" s="391"/>
      <c r="AJ59" s="391"/>
      <c r="AK59" s="391"/>
      <c r="AL59" s="391"/>
      <c r="AM59" s="392"/>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390"/>
      <c r="K60" s="391"/>
      <c r="L60" s="391"/>
      <c r="M60" s="391"/>
      <c r="N60" s="391"/>
      <c r="O60" s="392"/>
      <c r="P60" s="390"/>
      <c r="Q60" s="391"/>
      <c r="R60" s="391"/>
      <c r="S60" s="391"/>
      <c r="T60" s="391"/>
      <c r="U60" s="392"/>
      <c r="V60" s="390"/>
      <c r="W60" s="391"/>
      <c r="X60" s="391"/>
      <c r="Y60" s="391"/>
      <c r="Z60" s="391"/>
      <c r="AA60" s="392"/>
      <c r="AB60" s="390"/>
      <c r="AC60" s="391"/>
      <c r="AD60" s="391"/>
      <c r="AE60" s="391"/>
      <c r="AF60" s="391"/>
      <c r="AG60" s="392"/>
      <c r="AH60" s="390"/>
      <c r="AI60" s="391"/>
      <c r="AJ60" s="391"/>
      <c r="AK60" s="391"/>
      <c r="AL60" s="391"/>
      <c r="AM60" s="392"/>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393"/>
      <c r="K61" s="394"/>
      <c r="L61" s="394"/>
      <c r="M61" s="394"/>
      <c r="N61" s="394"/>
      <c r="O61" s="395"/>
      <c r="P61" s="393"/>
      <c r="Q61" s="394"/>
      <c r="R61" s="394"/>
      <c r="S61" s="394"/>
      <c r="T61" s="394"/>
      <c r="U61" s="395"/>
      <c r="V61" s="393"/>
      <c r="W61" s="394"/>
      <c r="X61" s="394"/>
      <c r="Y61" s="394"/>
      <c r="Z61" s="394"/>
      <c r="AA61" s="395"/>
      <c r="AB61" s="393"/>
      <c r="AC61" s="394"/>
      <c r="AD61" s="394"/>
      <c r="AE61" s="394"/>
      <c r="AF61" s="394"/>
      <c r="AG61" s="395"/>
      <c r="AH61" s="393"/>
      <c r="AI61" s="394"/>
      <c r="AJ61" s="394"/>
      <c r="AK61" s="394"/>
      <c r="AL61" s="394"/>
      <c r="AM61" s="395"/>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436" t="s">
        <v>55</v>
      </c>
      <c r="C1" s="436"/>
      <c r="D1" s="436"/>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topLeftCell="A2"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437" t="s">
        <v>63</v>
      </c>
      <c r="C1" s="437"/>
      <c r="D1" s="437"/>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157</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145</v>
      </c>
      <c r="D11" s="89" t="s">
        <v>152</v>
      </c>
      <c r="E11" s="69"/>
      <c r="F11" s="69"/>
      <c r="G11" s="69"/>
      <c r="H11" s="69"/>
      <c r="I11" s="69"/>
      <c r="J11" s="69"/>
      <c r="K11" s="69"/>
      <c r="L11" s="69"/>
      <c r="M11" s="69"/>
      <c r="N11" s="69"/>
      <c r="O11" s="69"/>
      <c r="P11" s="69"/>
      <c r="Q11" s="69"/>
      <c r="R11" s="69"/>
      <c r="S11" s="69"/>
      <c r="T11" s="69"/>
      <c r="U11" s="69"/>
    </row>
    <row r="12" spans="1:21" x14ac:dyDescent="0.25">
      <c r="A12" s="89"/>
      <c r="B12" s="89" t="s">
        <v>89</v>
      </c>
      <c r="C12" s="89" t="s">
        <v>149</v>
      </c>
      <c r="D12" s="89" t="s">
        <v>153</v>
      </c>
      <c r="E12" s="69"/>
      <c r="F12" s="69"/>
      <c r="G12" s="69"/>
      <c r="H12" s="69"/>
      <c r="I12" s="69"/>
      <c r="J12" s="69"/>
      <c r="K12" s="69"/>
      <c r="L12" s="69"/>
      <c r="M12" s="69"/>
      <c r="N12" s="69"/>
      <c r="O12" s="69"/>
      <c r="P12" s="69"/>
      <c r="Q12" s="69"/>
      <c r="R12" s="69"/>
      <c r="S12" s="69"/>
      <c r="T12" s="69"/>
      <c r="U12" s="69"/>
    </row>
    <row r="13" spans="1:21" x14ac:dyDescent="0.25">
      <c r="A13" s="89"/>
      <c r="B13" s="89"/>
      <c r="C13" s="89" t="s">
        <v>148</v>
      </c>
      <c r="D13" s="89" t="s">
        <v>154</v>
      </c>
      <c r="E13" s="69"/>
      <c r="F13" s="69"/>
      <c r="G13" s="69"/>
      <c r="H13" s="69"/>
      <c r="I13" s="69"/>
      <c r="J13" s="69"/>
      <c r="K13" s="69"/>
      <c r="L13" s="69"/>
      <c r="M13" s="69"/>
      <c r="N13" s="69"/>
      <c r="O13" s="69"/>
      <c r="P13" s="69"/>
      <c r="Q13" s="69"/>
      <c r="R13" s="69"/>
      <c r="S13" s="69"/>
      <c r="T13" s="69"/>
      <c r="U13" s="69"/>
    </row>
    <row r="14" spans="1:21" x14ac:dyDescent="0.25">
      <c r="A14" s="89"/>
      <c r="B14" s="89"/>
      <c r="C14" s="89" t="s">
        <v>150</v>
      </c>
      <c r="D14" s="89" t="s">
        <v>155</v>
      </c>
      <c r="E14" s="69"/>
      <c r="F14" s="69"/>
      <c r="G14" s="69"/>
      <c r="H14" s="69"/>
      <c r="I14" s="69"/>
      <c r="J14" s="69"/>
      <c r="K14" s="69"/>
      <c r="L14" s="69"/>
      <c r="M14" s="69"/>
      <c r="N14" s="69"/>
      <c r="O14" s="69"/>
      <c r="P14" s="69"/>
      <c r="Q14" s="69"/>
      <c r="R14" s="69"/>
      <c r="S14" s="69"/>
      <c r="T14" s="69"/>
      <c r="U14" s="69"/>
    </row>
    <row r="15" spans="1:21" x14ac:dyDescent="0.25">
      <c r="A15" s="89"/>
      <c r="B15" s="89"/>
      <c r="C15" s="89" t="s">
        <v>151</v>
      </c>
      <c r="D15" s="89" t="s">
        <v>156</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144</v>
      </c>
      <c r="D209" s="19" t="s">
        <v>88</v>
      </c>
      <c r="E209" s="19" t="s">
        <v>144</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146</v>
      </c>
    </row>
    <row r="224" spans="1:8" x14ac:dyDescent="0.25">
      <c r="B224" s="14"/>
      <c r="C224" s="14"/>
      <c r="F224" s="21" t="s">
        <v>147</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topLeftCell="A10" workbookViewId="0"/>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438" t="s">
        <v>78</v>
      </c>
      <c r="C1" s="439"/>
      <c r="D1" s="439"/>
      <c r="E1" s="439"/>
      <c r="F1" s="440"/>
    </row>
    <row r="2" spans="2:6" ht="16.5" thickBot="1" x14ac:dyDescent="0.3">
      <c r="B2" s="75"/>
      <c r="C2" s="75"/>
      <c r="D2" s="75"/>
      <c r="E2" s="75"/>
      <c r="F2" s="75"/>
    </row>
    <row r="3" spans="2:6" ht="16.5" thickBot="1" x14ac:dyDescent="0.25">
      <c r="B3" s="442" t="s">
        <v>64</v>
      </c>
      <c r="C3" s="443"/>
      <c r="D3" s="443"/>
      <c r="E3" s="87" t="s">
        <v>65</v>
      </c>
      <c r="F3" s="88" t="s">
        <v>66</v>
      </c>
    </row>
    <row r="4" spans="2:6" ht="31.5" x14ac:dyDescent="0.2">
      <c r="B4" s="444" t="s">
        <v>67</v>
      </c>
      <c r="C4" s="446" t="s">
        <v>13</v>
      </c>
      <c r="D4" s="76" t="s">
        <v>14</v>
      </c>
      <c r="E4" s="77" t="s">
        <v>68</v>
      </c>
      <c r="F4" s="78">
        <v>0.25</v>
      </c>
    </row>
    <row r="5" spans="2:6" ht="47.25" x14ac:dyDescent="0.2">
      <c r="B5" s="445"/>
      <c r="C5" s="447"/>
      <c r="D5" s="79" t="s">
        <v>15</v>
      </c>
      <c r="E5" s="80" t="s">
        <v>69</v>
      </c>
      <c r="F5" s="81">
        <v>0.15</v>
      </c>
    </row>
    <row r="6" spans="2:6" ht="47.25" x14ac:dyDescent="0.2">
      <c r="B6" s="445"/>
      <c r="C6" s="447"/>
      <c r="D6" s="79" t="s">
        <v>16</v>
      </c>
      <c r="E6" s="80" t="s">
        <v>70</v>
      </c>
      <c r="F6" s="81">
        <v>0.1</v>
      </c>
    </row>
    <row r="7" spans="2:6" ht="63" x14ac:dyDescent="0.2">
      <c r="B7" s="445"/>
      <c r="C7" s="447" t="s">
        <v>17</v>
      </c>
      <c r="D7" s="79" t="s">
        <v>10</v>
      </c>
      <c r="E7" s="80" t="s">
        <v>71</v>
      </c>
      <c r="F7" s="81">
        <v>0.25</v>
      </c>
    </row>
    <row r="8" spans="2:6" ht="31.5" x14ac:dyDescent="0.2">
      <c r="B8" s="445"/>
      <c r="C8" s="447"/>
      <c r="D8" s="79" t="s">
        <v>9</v>
      </c>
      <c r="E8" s="80" t="s">
        <v>72</v>
      </c>
      <c r="F8" s="81">
        <v>0.15</v>
      </c>
    </row>
    <row r="9" spans="2:6" ht="47.25" x14ac:dyDescent="0.2">
      <c r="B9" s="445" t="s">
        <v>161</v>
      </c>
      <c r="C9" s="447" t="s">
        <v>18</v>
      </c>
      <c r="D9" s="79" t="s">
        <v>19</v>
      </c>
      <c r="E9" s="80" t="s">
        <v>73</v>
      </c>
      <c r="F9" s="82" t="s">
        <v>74</v>
      </c>
    </row>
    <row r="10" spans="2:6" ht="63" x14ac:dyDescent="0.2">
      <c r="B10" s="445"/>
      <c r="C10" s="447"/>
      <c r="D10" s="79" t="s">
        <v>20</v>
      </c>
      <c r="E10" s="80" t="s">
        <v>75</v>
      </c>
      <c r="F10" s="82" t="s">
        <v>74</v>
      </c>
    </row>
    <row r="11" spans="2:6" ht="47.25" x14ac:dyDescent="0.2">
      <c r="B11" s="445"/>
      <c r="C11" s="447" t="s">
        <v>21</v>
      </c>
      <c r="D11" s="79" t="s">
        <v>22</v>
      </c>
      <c r="E11" s="80" t="s">
        <v>76</v>
      </c>
      <c r="F11" s="82" t="s">
        <v>74</v>
      </c>
    </row>
    <row r="12" spans="2:6" ht="47.25" x14ac:dyDescent="0.2">
      <c r="B12" s="445"/>
      <c r="C12" s="447"/>
      <c r="D12" s="79" t="s">
        <v>23</v>
      </c>
      <c r="E12" s="80" t="s">
        <v>77</v>
      </c>
      <c r="F12" s="82" t="s">
        <v>74</v>
      </c>
    </row>
    <row r="13" spans="2:6" ht="31.5" x14ac:dyDescent="0.2">
      <c r="B13" s="445"/>
      <c r="C13" s="447" t="s">
        <v>24</v>
      </c>
      <c r="D13" s="79" t="s">
        <v>119</v>
      </c>
      <c r="E13" s="80" t="s">
        <v>122</v>
      </c>
      <c r="F13" s="82" t="s">
        <v>74</v>
      </c>
    </row>
    <row r="14" spans="2:6" ht="32.25" thickBot="1" x14ac:dyDescent="0.25">
      <c r="B14" s="448"/>
      <c r="C14" s="449"/>
      <c r="D14" s="83" t="s">
        <v>120</v>
      </c>
      <c r="E14" s="84" t="s">
        <v>121</v>
      </c>
      <c r="F14" s="85" t="s">
        <v>74</v>
      </c>
    </row>
    <row r="15" spans="2:6" ht="49.5" customHeight="1" x14ac:dyDescent="0.2">
      <c r="B15" s="441" t="s">
        <v>158</v>
      </c>
      <c r="C15" s="441"/>
      <c r="D15" s="441"/>
      <c r="E15" s="441"/>
      <c r="F15" s="441"/>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2021-12-02T16:38:43Z</cp:lastPrinted>
  <dcterms:created xsi:type="dcterms:W3CDTF">2020-03-24T23:12:47Z</dcterms:created>
  <dcterms:modified xsi:type="dcterms:W3CDTF">2023-08-10T15:43:47Z</dcterms:modified>
</cp:coreProperties>
</file>